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S:\Board of Indigent Defense\Board Meetings\06-16-22 Meeting\"/>
    </mc:Choice>
  </mc:AlternateContent>
  <xr:revisionPtr revIDLastSave="0" documentId="13_ncr:1_{351801F6-E5B0-446A-830E-5A6DF7827FA6}" xr6:coauthVersionLast="47" xr6:coauthVersionMax="47" xr10:uidLastSave="{00000000-0000-0000-0000-000000000000}"/>
  <bookViews>
    <workbookView xWindow="3375" yWindow="3375" windowWidth="21600" windowHeight="11385" tabRatio="821" xr2:uid="{00000000-000D-0000-FFFF-FFFF00000000}"/>
  </bookViews>
  <sheets>
    <sheet name="Roll up all Counties" sheetId="21" r:id="rId1"/>
    <sheet name="Roll up Rural only" sheetId="22" r:id="rId2"/>
    <sheet name="Roll up Davis" sheetId="23" r:id="rId3"/>
    <sheet name="Carson" sheetId="4" r:id="rId4"/>
    <sheet name="Churchill" sheetId="5" r:id="rId5"/>
    <sheet name="Clark" sheetId="6" r:id="rId6"/>
    <sheet name="Douglas" sheetId="7" r:id="rId7"/>
    <sheet name="Elko" sheetId="8" r:id="rId8"/>
    <sheet name="Esmeralda" sheetId="9" r:id="rId9"/>
    <sheet name="Eureka" sheetId="10" r:id="rId10"/>
    <sheet name="Humboldt" sheetId="11" r:id="rId11"/>
    <sheet name="Lander" sheetId="12" r:id="rId12"/>
    <sheet name="Lincoln" sheetId="13" r:id="rId13"/>
    <sheet name="Lyon" sheetId="14" r:id="rId14"/>
    <sheet name="Mineral" sheetId="15" r:id="rId15"/>
    <sheet name="Nye" sheetId="16" r:id="rId16"/>
    <sheet name="Pershing" sheetId="17" r:id="rId17"/>
    <sheet name="Storey" sheetId="18" r:id="rId18"/>
    <sheet name="Washoe" sheetId="19" r:id="rId19"/>
    <sheet name="White Pine" sheetId="20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21" l="1"/>
  <c r="D6" i="21"/>
  <c r="G13" i="19"/>
  <c r="G20" i="5"/>
  <c r="D33" i="5" l="1"/>
  <c r="C33" i="5"/>
  <c r="E32" i="5"/>
  <c r="E31" i="5"/>
  <c r="E30" i="5"/>
  <c r="E29" i="5"/>
  <c r="E28" i="5"/>
  <c r="E27" i="5"/>
  <c r="E26" i="5"/>
  <c r="E25" i="5"/>
  <c r="AA7" i="21"/>
  <c r="Y7" i="21"/>
  <c r="U7" i="21"/>
  <c r="G13" i="10"/>
  <c r="J13" i="10"/>
  <c r="H20" i="19"/>
  <c r="H14" i="19"/>
  <c r="H13" i="19"/>
  <c r="M38" i="19"/>
  <c r="M37" i="19"/>
  <c r="M19" i="19"/>
  <c r="M16" i="19"/>
  <c r="M14" i="19"/>
  <c r="M12" i="19"/>
  <c r="L19" i="19"/>
  <c r="L14" i="19"/>
  <c r="Z7" i="21" l="1"/>
  <c r="E33" i="5"/>
  <c r="AC7" i="21"/>
  <c r="K19" i="19"/>
  <c r="K14" i="19"/>
  <c r="K13" i="19"/>
  <c r="K20" i="19" s="1"/>
  <c r="L13" i="19"/>
  <c r="L20" i="19"/>
  <c r="M20" i="19"/>
  <c r="J20" i="20"/>
  <c r="J14" i="20"/>
  <c r="J13" i="20"/>
  <c r="G13" i="20"/>
  <c r="J20" i="18"/>
  <c r="J20" i="17"/>
  <c r="G14" i="16"/>
  <c r="G13" i="16"/>
  <c r="J13" i="16"/>
  <c r="J20" i="16"/>
  <c r="G14" i="15"/>
  <c r="G13" i="15"/>
  <c r="J13" i="15"/>
  <c r="J20" i="15" s="1"/>
  <c r="G14" i="14"/>
  <c r="G13" i="14"/>
  <c r="J13" i="14"/>
  <c r="J20" i="14"/>
  <c r="G12" i="12"/>
  <c r="G14" i="12"/>
  <c r="J20" i="12"/>
  <c r="G12" i="11"/>
  <c r="K12" i="11"/>
  <c r="K16" i="11"/>
  <c r="J20" i="10"/>
  <c r="J20" i="9"/>
  <c r="J20" i="8"/>
  <c r="J16" i="8"/>
  <c r="J14" i="8"/>
  <c r="J12" i="8"/>
  <c r="J20" i="7"/>
  <c r="J14" i="7"/>
  <c r="J12" i="6"/>
  <c r="J21" i="6"/>
  <c r="J15" i="6"/>
  <c r="J12" i="5"/>
  <c r="J13" i="5"/>
  <c r="I13" i="4"/>
  <c r="I14" i="4"/>
  <c r="G16" i="8"/>
  <c r="G14" i="8"/>
  <c r="G12" i="8"/>
  <c r="G13" i="7"/>
  <c r="G15" i="6"/>
  <c r="G12" i="6"/>
  <c r="AA8" i="21"/>
  <c r="AA9" i="21"/>
  <c r="AA10" i="21"/>
  <c r="AA11" i="21"/>
  <c r="AA12" i="21"/>
  <c r="AA13" i="21"/>
  <c r="AA14" i="21"/>
  <c r="AA15" i="21"/>
  <c r="AA16" i="21"/>
  <c r="AA20" i="21"/>
  <c r="AA21" i="21"/>
  <c r="AA22" i="21"/>
  <c r="AA23" i="21"/>
  <c r="AA24" i="21"/>
  <c r="AA25" i="21"/>
  <c r="AA26" i="21"/>
  <c r="AA6" i="21"/>
  <c r="Y8" i="21"/>
  <c r="Y9" i="21"/>
  <c r="Y10" i="21"/>
  <c r="Y11" i="21"/>
  <c r="Y12" i="21"/>
  <c r="Y13" i="21"/>
  <c r="Y14" i="21"/>
  <c r="Y15" i="21"/>
  <c r="Y16" i="21"/>
  <c r="Y20" i="21"/>
  <c r="Y21" i="21"/>
  <c r="Y22" i="21"/>
  <c r="Y23" i="21"/>
  <c r="Y24" i="21"/>
  <c r="Y25" i="21"/>
  <c r="Y26" i="21"/>
  <c r="Y6" i="21"/>
  <c r="U9" i="21"/>
  <c r="Z9" i="21" s="1"/>
  <c r="U11" i="21"/>
  <c r="U12" i="21"/>
  <c r="U13" i="21"/>
  <c r="U14" i="21"/>
  <c r="U20" i="21"/>
  <c r="U21" i="21"/>
  <c r="U23" i="21"/>
  <c r="U25" i="21"/>
  <c r="Z25" i="21" s="1"/>
  <c r="U26" i="21"/>
  <c r="Q26" i="21"/>
  <c r="U16" i="21"/>
  <c r="U15" i="21"/>
  <c r="U24" i="21"/>
  <c r="Z24" i="21" s="1"/>
  <c r="U22" i="21"/>
  <c r="B6" i="21" l="1"/>
  <c r="Z15" i="21"/>
  <c r="AE7" i="21"/>
  <c r="AD7" i="21"/>
  <c r="Z23" i="21"/>
  <c r="Z11" i="21"/>
  <c r="J20" i="5"/>
  <c r="K20" i="11"/>
  <c r="I20" i="4"/>
  <c r="Z22" i="21"/>
  <c r="Z14" i="21"/>
  <c r="Z21" i="21"/>
  <c r="Z13" i="21"/>
  <c r="Z26" i="21"/>
  <c r="Y28" i="21"/>
  <c r="Z16" i="21"/>
  <c r="Z12" i="21"/>
  <c r="Z20" i="21"/>
  <c r="U10" i="21"/>
  <c r="Z10" i="21" s="1"/>
  <c r="U8" i="21"/>
  <c r="Z8" i="21" s="1"/>
  <c r="U6" i="21"/>
  <c r="Z6" i="21" s="1"/>
  <c r="C6" i="21" l="1"/>
  <c r="U28" i="21"/>
  <c r="AC26" i="21"/>
  <c r="AD26" i="21" s="1"/>
  <c r="AC25" i="21"/>
  <c r="AD25" i="21" s="1"/>
  <c r="AC24" i="21"/>
  <c r="AC21" i="21"/>
  <c r="AC9" i="21"/>
  <c r="AC11" i="21"/>
  <c r="AC12" i="21"/>
  <c r="AC14" i="21"/>
  <c r="AC15" i="21"/>
  <c r="Q28" i="21" l="1"/>
  <c r="AC10" i="21"/>
  <c r="AD21" i="21"/>
  <c r="AC16" i="21" l="1"/>
  <c r="AD9" i="21"/>
  <c r="AD16" i="21" l="1"/>
  <c r="AD24" i="21"/>
  <c r="AD15" i="21"/>
  <c r="AD14" i="21"/>
  <c r="AD12" i="21"/>
  <c r="AD10" i="21"/>
  <c r="AC6" i="21" l="1"/>
  <c r="AC20" i="21"/>
  <c r="AC13" i="21" l="1"/>
  <c r="AC22" i="21"/>
  <c r="AD6" i="21"/>
  <c r="AD20" i="21"/>
  <c r="AA28" i="21" l="1"/>
  <c r="Z28" i="21"/>
  <c r="M28" i="21"/>
  <c r="AD22" i="21"/>
  <c r="AC23" i="21"/>
  <c r="AD23" i="21" s="1"/>
  <c r="AC8" i="21"/>
  <c r="AD8" i="21" s="1"/>
  <c r="AD13" i="21"/>
  <c r="D19" i="13" l="1"/>
  <c r="D12" i="19" l="1"/>
  <c r="C12" i="19"/>
  <c r="D19" i="7" l="1"/>
  <c r="C19" i="7"/>
  <c r="E13" i="6" l="1"/>
  <c r="H13" i="6" s="1"/>
  <c r="E12" i="6" l="1"/>
  <c r="H12" i="6"/>
  <c r="E14" i="6"/>
  <c r="H14" i="6" s="1"/>
  <c r="E15" i="6"/>
  <c r="E16" i="6"/>
  <c r="H16" i="6" s="1"/>
  <c r="E17" i="6"/>
  <c r="H17" i="6" s="1"/>
  <c r="E18" i="6"/>
  <c r="H18" i="6"/>
  <c r="E19" i="6"/>
  <c r="H19" i="6"/>
  <c r="E20" i="6"/>
  <c r="H20" i="6" s="1"/>
  <c r="C21" i="6"/>
  <c r="D21" i="6"/>
  <c r="G21" i="6"/>
  <c r="G21" i="21" s="1"/>
  <c r="E12" i="5"/>
  <c r="H12" i="5"/>
  <c r="E13" i="5"/>
  <c r="E14" i="5"/>
  <c r="H14" i="5" s="1"/>
  <c r="E15" i="5"/>
  <c r="H15" i="5"/>
  <c r="E16" i="5"/>
  <c r="H16" i="5"/>
  <c r="E17" i="5"/>
  <c r="H17" i="5"/>
  <c r="E18" i="5"/>
  <c r="H18" i="5"/>
  <c r="E19" i="5"/>
  <c r="H19" i="5" s="1"/>
  <c r="C20" i="5"/>
  <c r="C37" i="5" s="1"/>
  <c r="D20" i="5"/>
  <c r="D37" i="5" s="1"/>
  <c r="G6" i="21"/>
  <c r="G20" i="20"/>
  <c r="D20" i="20"/>
  <c r="C20" i="20"/>
  <c r="E19" i="20"/>
  <c r="H19" i="20" s="1"/>
  <c r="E18" i="20"/>
  <c r="H18" i="20" s="1"/>
  <c r="E17" i="20"/>
  <c r="H17" i="20" s="1"/>
  <c r="E16" i="20"/>
  <c r="H16" i="20" s="1"/>
  <c r="E15" i="20"/>
  <c r="H15" i="20" s="1"/>
  <c r="E14" i="20"/>
  <c r="H14" i="20" s="1"/>
  <c r="E13" i="20"/>
  <c r="H13" i="20" s="1"/>
  <c r="E12" i="20"/>
  <c r="H12" i="20" s="1"/>
  <c r="G20" i="19"/>
  <c r="G26" i="21" s="1"/>
  <c r="D20" i="19"/>
  <c r="C20" i="19"/>
  <c r="E19" i="19"/>
  <c r="E18" i="19"/>
  <c r="E17" i="19"/>
  <c r="E16" i="19"/>
  <c r="E15" i="19"/>
  <c r="E14" i="19"/>
  <c r="E13" i="19"/>
  <c r="E12" i="19"/>
  <c r="G20" i="18"/>
  <c r="D20" i="18"/>
  <c r="C20" i="18"/>
  <c r="E19" i="18"/>
  <c r="H19" i="18" s="1"/>
  <c r="E18" i="18"/>
  <c r="H18" i="18" s="1"/>
  <c r="E17" i="18"/>
  <c r="H17" i="18" s="1"/>
  <c r="E16" i="18"/>
  <c r="H16" i="18" s="1"/>
  <c r="E15" i="18"/>
  <c r="H15" i="18" s="1"/>
  <c r="E14" i="18"/>
  <c r="H14" i="18" s="1"/>
  <c r="E13" i="18"/>
  <c r="H13" i="18" s="1"/>
  <c r="E12" i="18"/>
  <c r="H12" i="18" s="1"/>
  <c r="G20" i="17"/>
  <c r="D20" i="17"/>
  <c r="C20" i="17"/>
  <c r="E19" i="17"/>
  <c r="H19" i="17" s="1"/>
  <c r="E18" i="17"/>
  <c r="H18" i="17" s="1"/>
  <c r="E17" i="17"/>
  <c r="H17" i="17" s="1"/>
  <c r="E16" i="17"/>
  <c r="H16" i="17" s="1"/>
  <c r="E15" i="17"/>
  <c r="H15" i="17" s="1"/>
  <c r="E14" i="17"/>
  <c r="H14" i="17" s="1"/>
  <c r="E13" i="17"/>
  <c r="H13" i="17" s="1"/>
  <c r="E12" i="17"/>
  <c r="H12" i="17" s="1"/>
  <c r="G20" i="16"/>
  <c r="D20" i="16"/>
  <c r="C20" i="16"/>
  <c r="E19" i="16"/>
  <c r="H19" i="16" s="1"/>
  <c r="E18" i="16"/>
  <c r="H18" i="16" s="1"/>
  <c r="E17" i="16"/>
  <c r="H17" i="16" s="1"/>
  <c r="E16" i="16"/>
  <c r="H16" i="16" s="1"/>
  <c r="E15" i="16"/>
  <c r="H15" i="16" s="1"/>
  <c r="E14" i="16"/>
  <c r="H14" i="16" s="1"/>
  <c r="E13" i="16"/>
  <c r="H13" i="16" s="1"/>
  <c r="E12" i="16"/>
  <c r="H12" i="16" s="1"/>
  <c r="G20" i="15"/>
  <c r="D20" i="15"/>
  <c r="C20" i="15"/>
  <c r="E19" i="15"/>
  <c r="H19" i="15" s="1"/>
  <c r="E18" i="15"/>
  <c r="H18" i="15" s="1"/>
  <c r="E17" i="15"/>
  <c r="H17" i="15" s="1"/>
  <c r="E16" i="15"/>
  <c r="H16" i="15" s="1"/>
  <c r="E15" i="15"/>
  <c r="H15" i="15" s="1"/>
  <c r="E14" i="15"/>
  <c r="H14" i="15" s="1"/>
  <c r="E13" i="15"/>
  <c r="H13" i="15" s="1"/>
  <c r="E12" i="15"/>
  <c r="H12" i="15" s="1"/>
  <c r="G20" i="14"/>
  <c r="D20" i="14"/>
  <c r="C20" i="14"/>
  <c r="E19" i="14"/>
  <c r="H19" i="14" s="1"/>
  <c r="E18" i="14"/>
  <c r="H18" i="14" s="1"/>
  <c r="E17" i="14"/>
  <c r="H17" i="14" s="1"/>
  <c r="E16" i="14"/>
  <c r="H16" i="14" s="1"/>
  <c r="E15" i="14"/>
  <c r="H15" i="14" s="1"/>
  <c r="E14" i="14"/>
  <c r="H14" i="14" s="1"/>
  <c r="E13" i="14"/>
  <c r="H13" i="14" s="1"/>
  <c r="E12" i="14"/>
  <c r="H12" i="14" s="1"/>
  <c r="G20" i="13"/>
  <c r="D20" i="13"/>
  <c r="C20" i="13"/>
  <c r="E19" i="13"/>
  <c r="H19" i="13" s="1"/>
  <c r="E18" i="13"/>
  <c r="H18" i="13" s="1"/>
  <c r="E17" i="13"/>
  <c r="H17" i="13" s="1"/>
  <c r="E16" i="13"/>
  <c r="H16" i="13" s="1"/>
  <c r="E15" i="13"/>
  <c r="H15" i="13" s="1"/>
  <c r="E14" i="13"/>
  <c r="H14" i="13" s="1"/>
  <c r="E13" i="13"/>
  <c r="H13" i="13" s="1"/>
  <c r="E12" i="13"/>
  <c r="H12" i="13" s="1"/>
  <c r="G20" i="12"/>
  <c r="D20" i="12"/>
  <c r="C20" i="12"/>
  <c r="E19" i="12"/>
  <c r="H19" i="12" s="1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H13" i="12" s="1"/>
  <c r="E12" i="12"/>
  <c r="H12" i="12" s="1"/>
  <c r="G20" i="11"/>
  <c r="D20" i="11"/>
  <c r="C20" i="11"/>
  <c r="E19" i="11"/>
  <c r="H19" i="11" s="1"/>
  <c r="E18" i="11"/>
  <c r="H18" i="11" s="1"/>
  <c r="E17" i="11"/>
  <c r="H17" i="11" s="1"/>
  <c r="E16" i="11"/>
  <c r="H16" i="11" s="1"/>
  <c r="E15" i="11"/>
  <c r="H15" i="11" s="1"/>
  <c r="E14" i="11"/>
  <c r="H14" i="11" s="1"/>
  <c r="E13" i="11"/>
  <c r="H13" i="11" s="1"/>
  <c r="E12" i="11"/>
  <c r="H12" i="11" s="1"/>
  <c r="G20" i="10"/>
  <c r="D20" i="10"/>
  <c r="C20" i="10"/>
  <c r="E19" i="10"/>
  <c r="H19" i="10" s="1"/>
  <c r="E18" i="10"/>
  <c r="H18" i="10" s="1"/>
  <c r="E17" i="10"/>
  <c r="H17" i="10" s="1"/>
  <c r="E16" i="10"/>
  <c r="H16" i="10" s="1"/>
  <c r="E15" i="10"/>
  <c r="H15" i="10" s="1"/>
  <c r="E14" i="10"/>
  <c r="H14" i="10" s="1"/>
  <c r="E13" i="10"/>
  <c r="H13" i="10" s="1"/>
  <c r="E12" i="10"/>
  <c r="H12" i="10" s="1"/>
  <c r="G20" i="9"/>
  <c r="D20" i="9"/>
  <c r="C20" i="9"/>
  <c r="E19" i="9"/>
  <c r="H19" i="9" s="1"/>
  <c r="E18" i="9"/>
  <c r="H18" i="9" s="1"/>
  <c r="E17" i="9"/>
  <c r="H17" i="9" s="1"/>
  <c r="E16" i="9"/>
  <c r="H16" i="9" s="1"/>
  <c r="E15" i="9"/>
  <c r="H15" i="9" s="1"/>
  <c r="E14" i="9"/>
  <c r="H14" i="9" s="1"/>
  <c r="E13" i="9"/>
  <c r="H13" i="9" s="1"/>
  <c r="E12" i="9"/>
  <c r="H12" i="9" s="1"/>
  <c r="G20" i="8"/>
  <c r="G22" i="21" s="1"/>
  <c r="D20" i="8"/>
  <c r="C20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G20" i="7"/>
  <c r="D20" i="7"/>
  <c r="C20" i="7"/>
  <c r="E19" i="7"/>
  <c r="H19" i="7" s="1"/>
  <c r="E18" i="7"/>
  <c r="H18" i="7" s="1"/>
  <c r="E17" i="7"/>
  <c r="H17" i="7" s="1"/>
  <c r="E16" i="7"/>
  <c r="H16" i="7" s="1"/>
  <c r="E15" i="7"/>
  <c r="H15" i="7" s="1"/>
  <c r="E14" i="7"/>
  <c r="H14" i="7" s="1"/>
  <c r="E13" i="7"/>
  <c r="H13" i="7" s="1"/>
  <c r="E12" i="7"/>
  <c r="H12" i="7" s="1"/>
  <c r="E13" i="4"/>
  <c r="E14" i="4"/>
  <c r="E15" i="4"/>
  <c r="E16" i="4"/>
  <c r="E17" i="4"/>
  <c r="E18" i="4"/>
  <c r="E19" i="4"/>
  <c r="E12" i="4"/>
  <c r="G20" i="4"/>
  <c r="D20" i="4"/>
  <c r="H6" i="21" l="1"/>
  <c r="E37" i="5"/>
  <c r="E20" i="5"/>
  <c r="G37" i="5" s="1"/>
  <c r="G7" i="21"/>
  <c r="C7" i="23"/>
  <c r="C7" i="22"/>
  <c r="G16" i="21"/>
  <c r="C22" i="23"/>
  <c r="C22" i="22"/>
  <c r="G25" i="21"/>
  <c r="C20" i="22"/>
  <c r="G24" i="21"/>
  <c r="C19" i="22"/>
  <c r="G15" i="21"/>
  <c r="C18" i="22"/>
  <c r="C18" i="23"/>
  <c r="G14" i="21"/>
  <c r="C17" i="23"/>
  <c r="C17" i="22"/>
  <c r="G13" i="21"/>
  <c r="C16" i="22"/>
  <c r="C16" i="23"/>
  <c r="G12" i="21"/>
  <c r="C15" i="23"/>
  <c r="C15" i="22"/>
  <c r="G11" i="21"/>
  <c r="C14" i="22"/>
  <c r="C14" i="23"/>
  <c r="G23" i="21"/>
  <c r="C13" i="22"/>
  <c r="G10" i="21"/>
  <c r="C12" i="22"/>
  <c r="C12" i="23"/>
  <c r="G9" i="21"/>
  <c r="C11" i="23"/>
  <c r="C11" i="22"/>
  <c r="G8" i="21"/>
  <c r="C9" i="23"/>
  <c r="C9" i="22"/>
  <c r="G20" i="21"/>
  <c r="C6" i="22"/>
  <c r="C10" i="22"/>
  <c r="H13" i="5"/>
  <c r="E21" i="6"/>
  <c r="B21" i="21" s="1"/>
  <c r="H15" i="6"/>
  <c r="E20" i="20"/>
  <c r="E20" i="19"/>
  <c r="E20" i="18"/>
  <c r="B20" i="22" s="1"/>
  <c r="E20" i="17"/>
  <c r="E20" i="16"/>
  <c r="E20" i="15"/>
  <c r="E20" i="14"/>
  <c r="E20" i="13"/>
  <c r="E20" i="12"/>
  <c r="E20" i="11"/>
  <c r="B13" i="22" s="1"/>
  <c r="E20" i="10"/>
  <c r="E20" i="9"/>
  <c r="E20" i="8"/>
  <c r="E20" i="7"/>
  <c r="E20" i="4"/>
  <c r="C21" i="21" l="1"/>
  <c r="AE21" i="21" s="1"/>
  <c r="D21" i="21"/>
  <c r="H21" i="21" s="1"/>
  <c r="B7" i="22"/>
  <c r="B7" i="23"/>
  <c r="H20" i="5"/>
  <c r="D7" i="23" s="1"/>
  <c r="H20" i="20"/>
  <c r="B22" i="23"/>
  <c r="B22" i="22"/>
  <c r="B16" i="21"/>
  <c r="H20" i="17"/>
  <c r="D19" i="22" s="1"/>
  <c r="B19" i="22"/>
  <c r="B24" i="21"/>
  <c r="H20" i="16"/>
  <c r="B18" i="23"/>
  <c r="B18" i="22"/>
  <c r="B15" i="21"/>
  <c r="B17" i="23"/>
  <c r="B17" i="22"/>
  <c r="H20" i="14"/>
  <c r="B16" i="22"/>
  <c r="B16" i="23"/>
  <c r="B13" i="21"/>
  <c r="B12" i="21"/>
  <c r="B15" i="23"/>
  <c r="B15" i="22"/>
  <c r="H20" i="12"/>
  <c r="B14" i="23"/>
  <c r="B14" i="22"/>
  <c r="B11" i="21"/>
  <c r="B12" i="22"/>
  <c r="B12" i="23"/>
  <c r="B11" i="23"/>
  <c r="B11" i="22"/>
  <c r="H20" i="7"/>
  <c r="B9" i="23"/>
  <c r="B9" i="22"/>
  <c r="B8" i="21"/>
  <c r="D9" i="23"/>
  <c r="D9" i="22"/>
  <c r="B20" i="21"/>
  <c r="B6" i="22"/>
  <c r="H20" i="8"/>
  <c r="B10" i="22"/>
  <c r="B22" i="21"/>
  <c r="H20" i="15"/>
  <c r="B14" i="21"/>
  <c r="H20" i="13"/>
  <c r="H20" i="10"/>
  <c r="B10" i="21"/>
  <c r="H20" i="9"/>
  <c r="B9" i="21"/>
  <c r="H20" i="18"/>
  <c r="D20" i="22" s="1"/>
  <c r="B25" i="21"/>
  <c r="H20" i="11"/>
  <c r="D13" i="22" s="1"/>
  <c r="B23" i="21"/>
  <c r="H21" i="6"/>
  <c r="B26" i="21"/>
  <c r="C20" i="4"/>
  <c r="D7" i="22" l="1"/>
  <c r="C20" i="21"/>
  <c r="AE20" i="21" s="1"/>
  <c r="F20" i="21"/>
  <c r="K20" i="21" s="1"/>
  <c r="D20" i="21"/>
  <c r="H20" i="21" s="1"/>
  <c r="C14" i="21"/>
  <c r="AE14" i="21" s="1"/>
  <c r="D14" i="21"/>
  <c r="H14" i="21" s="1"/>
  <c r="C15" i="21"/>
  <c r="AE15" i="21" s="1"/>
  <c r="D15" i="21"/>
  <c r="H15" i="21" s="1"/>
  <c r="C22" i="21"/>
  <c r="AE22" i="21" s="1"/>
  <c r="D22" i="21"/>
  <c r="H22" i="21" s="1"/>
  <c r="C9" i="21"/>
  <c r="AE9" i="21" s="1"/>
  <c r="D9" i="21"/>
  <c r="H9" i="21" s="1"/>
  <c r="C8" i="21"/>
  <c r="AE8" i="21" s="1"/>
  <c r="D8" i="21"/>
  <c r="H8" i="21" s="1"/>
  <c r="F8" i="21"/>
  <c r="K8" i="21" s="1"/>
  <c r="C13" i="21"/>
  <c r="AE13" i="21" s="1"/>
  <c r="F13" i="21"/>
  <c r="K13" i="21" s="1"/>
  <c r="D13" i="21"/>
  <c r="H13" i="21" s="1"/>
  <c r="D7" i="21"/>
  <c r="H7" i="21" s="1"/>
  <c r="H18" i="21" s="1"/>
  <c r="H32" i="21" s="1"/>
  <c r="C24" i="21"/>
  <c r="AE24" i="21" s="1"/>
  <c r="D24" i="21"/>
  <c r="H24" i="21" s="1"/>
  <c r="C23" i="21"/>
  <c r="AE23" i="21" s="1"/>
  <c r="D23" i="21"/>
  <c r="H23" i="21" s="1"/>
  <c r="F23" i="21"/>
  <c r="K23" i="21" s="1"/>
  <c r="C25" i="21"/>
  <c r="AE25" i="21" s="1"/>
  <c r="D25" i="21"/>
  <c r="H25" i="21" s="1"/>
  <c r="C12" i="21"/>
  <c r="AE12" i="21" s="1"/>
  <c r="D12" i="21"/>
  <c r="H12" i="21" s="1"/>
  <c r="C16" i="21"/>
  <c r="AE16" i="21" s="1"/>
  <c r="F16" i="21"/>
  <c r="K16" i="21" s="1"/>
  <c r="D16" i="21"/>
  <c r="H16" i="21" s="1"/>
  <c r="C11" i="21"/>
  <c r="F11" i="21"/>
  <c r="K11" i="21" s="1"/>
  <c r="D11" i="21"/>
  <c r="H11" i="21" s="1"/>
  <c r="C26" i="21"/>
  <c r="AE26" i="21" s="1"/>
  <c r="F26" i="21"/>
  <c r="K26" i="21" s="1"/>
  <c r="D26" i="21"/>
  <c r="H26" i="21" s="1"/>
  <c r="C10" i="21"/>
  <c r="AE10" i="21" s="1"/>
  <c r="D10" i="21"/>
  <c r="H10" i="21" s="1"/>
  <c r="C7" i="21"/>
  <c r="AE6" i="21" s="1"/>
  <c r="D22" i="23"/>
  <c r="D22" i="22"/>
  <c r="D18" i="22"/>
  <c r="D18" i="23"/>
  <c r="D17" i="23"/>
  <c r="D17" i="22"/>
  <c r="D16" i="22"/>
  <c r="D16" i="23"/>
  <c r="D15" i="23"/>
  <c r="D15" i="22"/>
  <c r="D14" i="22"/>
  <c r="D14" i="23"/>
  <c r="D12" i="22"/>
  <c r="D12" i="23"/>
  <c r="D11" i="23"/>
  <c r="D11" i="22"/>
  <c r="D6" i="22"/>
  <c r="D10" i="22"/>
  <c r="K28" i="21" l="1"/>
  <c r="H28" i="21"/>
  <c r="D23" i="23"/>
  <c r="D23" i="22"/>
</calcChain>
</file>

<file path=xl/sharedStrings.xml><?xml version="1.0" encoding="utf-8"?>
<sst xmlns="http://schemas.openxmlformats.org/spreadsheetml/2006/main" count="534" uniqueCount="87">
  <si>
    <t>Total</t>
  </si>
  <si>
    <t>Equipment</t>
  </si>
  <si>
    <t>Other</t>
  </si>
  <si>
    <t xml:space="preserve"> </t>
  </si>
  <si>
    <t>FINANCIAL STATUS REPORT</t>
  </si>
  <si>
    <t>Contract Attorneys</t>
  </si>
  <si>
    <t>To:</t>
  </si>
  <si>
    <t>From:</t>
  </si>
  <si>
    <t>Nevada Department of Indigent Defense Services</t>
  </si>
  <si>
    <t>Salaries</t>
  </si>
  <si>
    <t>Travel/Training</t>
  </si>
  <si>
    <t>Supplies</t>
  </si>
  <si>
    <t>Expert / Investigators</t>
  </si>
  <si>
    <t>Construction/Lease</t>
  </si>
  <si>
    <t xml:space="preserve">E226 </t>
  </si>
  <si>
    <t>Carson County</t>
  </si>
  <si>
    <t>Period</t>
  </si>
  <si>
    <t xml:space="preserve">Expenditure Categories   </t>
  </si>
  <si>
    <t>Two year avg</t>
  </si>
  <si>
    <t xml:space="preserve">Difference 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</si>
  <si>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</si>
  <si>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</si>
  <si>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</si>
  <si>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</si>
  <si>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</si>
  <si>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</si>
  <si>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</si>
  <si>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</si>
  <si>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</si>
  <si>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</si>
  <si>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</si>
  <si>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</si>
  <si>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</si>
  <si>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</si>
  <si>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</si>
  <si>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</si>
  <si>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Benefits</t>
  </si>
  <si>
    <t>Nye County will need to increase the number of Public Defender contracts from 5 to 6 due to the increasing case load.</t>
  </si>
  <si>
    <t>Contracts are currently 150k each. Nye County will also need to make modifications to the courtrooms to add private meeting rooms</t>
  </si>
  <si>
    <t>for attorney's to meet with their clients. Nye County currently does not have the funding for these two line items.</t>
  </si>
  <si>
    <t>County</t>
  </si>
  <si>
    <t>Carson</t>
  </si>
  <si>
    <t>2 year avg</t>
  </si>
  <si>
    <t>FY21 budgeted</t>
  </si>
  <si>
    <t>difference</t>
  </si>
  <si>
    <t>E227 - County Maximum Contribution</t>
  </si>
  <si>
    <t>Projection</t>
  </si>
  <si>
    <t>Davis Counties</t>
  </si>
  <si>
    <t>Non-Davis Counties</t>
  </si>
  <si>
    <t>Over/(under) Max Contribution amount</t>
  </si>
  <si>
    <t>Reimbursed Q2</t>
  </si>
  <si>
    <t>Reimbursed Q3</t>
  </si>
  <si>
    <t>Reimbursed Q4</t>
  </si>
  <si>
    <t>FY23</t>
  </si>
  <si>
    <t>2022 FSR</t>
  </si>
  <si>
    <t>Maximum Contribution FY22</t>
  </si>
  <si>
    <t>Proposed Maximum Contribution FY23 (COLA)</t>
  </si>
  <si>
    <t>FY23 Q1</t>
  </si>
  <si>
    <t>FY23 Q2</t>
  </si>
  <si>
    <t>FY23 Q2 Case Related Expenses</t>
  </si>
  <si>
    <t>FY23 Q2 Balance</t>
  </si>
  <si>
    <t>FY23 Q3</t>
  </si>
  <si>
    <t>FY23 Q3 Case Related Expenses</t>
  </si>
  <si>
    <t>FY23 Q3 Balance</t>
  </si>
  <si>
    <t>FY23 Q4</t>
  </si>
  <si>
    <t>FY23 Q4 Case Related Expenses</t>
  </si>
  <si>
    <t>FY23 Q4 Balance</t>
  </si>
  <si>
    <t>FY23 Grand Total after Reimbursements</t>
  </si>
  <si>
    <t>FY23 Grand Total without Reimbursements</t>
  </si>
  <si>
    <t>FY2021</t>
  </si>
  <si>
    <t>AR</t>
  </si>
  <si>
    <t>Conflict AR</t>
  </si>
  <si>
    <t>PD AR</t>
  </si>
  <si>
    <t>Difference:
Budget vs Inflation</t>
  </si>
  <si>
    <t>Difference:
Budget vs COLA</t>
  </si>
  <si>
    <t>Proposed Maximum Contribution FY23 (Inflation)</t>
  </si>
  <si>
    <t>FY23 Budgeted</t>
  </si>
  <si>
    <t>Approved:</t>
  </si>
  <si>
    <t>Modified:</t>
  </si>
  <si>
    <t>Churchill (Mod)</t>
  </si>
  <si>
    <t>Difference APPvsMOD</t>
  </si>
  <si>
    <t>NA</t>
  </si>
  <si>
    <t>County COLA</t>
  </si>
  <si>
    <t>N/A</t>
  </si>
  <si>
    <t>Davis Estimated State Expense:</t>
  </si>
  <si>
    <t>non-Davis Estimated State Expense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</si>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</sst>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/>
    <xf numFmtId="0" fontId="4" fillId="0" borderId="0" xfId="0" applyFont="1" applyAlignment="1">
      <alignment vertical="center"/>
    </xf>
    <xf numFmtId="44" fontId="0" fillId="0" borderId="0" xfId="1" applyFont="1" applyBorder="1"/>
    <xf numFmtId="164" fontId="0" fillId="0" borderId="0" xfId="0" applyNumberFormat="1" applyBorder="1"/>
    <xf numFmtId="0" fontId="0" fillId="0" borderId="0" xfId="0" applyFill="1" applyBorder="1"/>
    <xf numFmtId="0" fontId="0" fillId="0" borderId="0" xfId="0" applyNumberFormat="1" applyBorder="1"/>
    <xf numFmtId="44" fontId="0" fillId="0" borderId="0" xfId="0" applyNumberFormat="1" applyBorder="1"/>
    <xf numFmtId="14" fontId="0" fillId="0" borderId="0" xfId="0" applyNumberFormat="1" applyBorder="1"/>
    <xf numFmtId="44" fontId="0" fillId="0" borderId="0" xfId="0" applyNumberFormat="1"/>
    <xf numFmtId="44" fontId="0" fillId="0" borderId="1" xfId="0" applyNumberFormat="1" applyBorder="1"/>
    <xf numFmtId="44" fontId="2" fillId="0" borderId="0" xfId="0" applyNumberFormat="1" applyFont="1"/>
    <xf numFmtId="44" fontId="0" fillId="2" borderId="0" xfId="0" applyNumberFormat="1" applyFill="1"/>
    <xf numFmtId="44" fontId="0" fillId="0" borderId="0" xfId="1" applyFont="1"/>
    <xf numFmtId="44" fontId="0" fillId="0" borderId="1" xfId="1" applyFont="1" applyBorder="1"/>
    <xf numFmtId="0" fontId="3" fillId="0" borderId="0" xfId="0" applyFont="1"/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4" fontId="0" fillId="0" borderId="0" xfId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0" fillId="3" borderId="0" xfId="0" applyFill="1"/>
    <xf numFmtId="44" fontId="0" fillId="3" borderId="0" xfId="1" applyFont="1" applyFill="1"/>
    <xf numFmtId="44" fontId="0" fillId="3" borderId="1" xfId="0" applyNumberFormat="1" applyFill="1" applyBorder="1"/>
    <xf numFmtId="4" fontId="0" fillId="3" borderId="0" xfId="0" applyNumberFormat="1" applyFill="1"/>
    <xf numFmtId="0" fontId="0" fillId="4" borderId="0" xfId="0" applyFill="1" applyBorder="1"/>
    <xf numFmtId="1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2" applyFont="1"/>
    <xf numFmtId="43" fontId="0" fillId="0" borderId="2" xfId="2" applyFont="1" applyBorder="1"/>
    <xf numFmtId="44" fontId="0" fillId="5" borderId="0" xfId="1" applyFont="1" applyFill="1" applyBorder="1"/>
    <xf numFmtId="43" fontId="0" fillId="5" borderId="0" xfId="0" applyNumberFormat="1" applyFill="1"/>
    <xf numFmtId="44" fontId="0" fillId="5" borderId="0" xfId="0" applyNumberFormat="1" applyFill="1"/>
    <xf numFmtId="0" fontId="1" fillId="0" borderId="0" xfId="0" applyFont="1"/>
    <xf numFmtId="164" fontId="1" fillId="0" borderId="0" xfId="0" applyNumberFormat="1" applyFont="1" applyBorder="1"/>
    <xf numFmtId="44" fontId="0" fillId="0" borderId="0" xfId="1" applyFont="1" applyBorder="1"/>
    <xf numFmtId="0" fontId="0" fillId="0" borderId="0" xfId="0" applyAlignment="1">
      <alignment horizontal="right"/>
    </xf>
    <xf numFmtId="44" fontId="0" fillId="0" borderId="0" xfId="0" applyNumberFormat="1" applyAlignment="1">
      <alignment horizontal="center"/>
    </xf>
    <xf numFmtId="9" fontId="0" fillId="0" borderId="0" xfId="3" applyFont="1" applyAlignment="1">
      <alignment horizontal="center"/>
    </xf>
    <xf numFmtId="10" fontId="0" fillId="0" borderId="0" xfId="3" applyNumberFormat="1" applyFont="1" applyAlignment="1">
      <alignment horizontal="center"/>
    </xf>
    <xf numFmtId="44" fontId="0" fillId="6" borderId="0" xfId="0" applyNumberFormat="1" applyFill="1"/>
    <xf numFmtId="44" fontId="0" fillId="6" borderId="0" xfId="1" applyFont="1" applyFill="1"/>
    <xf numFmtId="44" fontId="0" fillId="0" borderId="0" xfId="0" applyNumberFormat="1" applyFill="1"/>
    <xf numFmtId="44" fontId="0" fillId="7" borderId="0" xfId="0" applyNumberFormat="1" applyFill="1"/>
    <xf numFmtId="44" fontId="0" fillId="0" borderId="0" xfId="0" applyNumberFormat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95251</xdr:rowOff>
    </xdr:from>
    <xdr:to>
      <xdr:col>4</xdr:col>
      <xdr:colOff>804334</xdr:colOff>
      <xdr:row>42</xdr:row>
      <xdr:rowOff>111962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9FF159-2E1D-8B9B-5B09-AA62179BD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3583" y="4826001"/>
          <a:ext cx="4392084" cy="2080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39959-C223-4034-AD05-62FA3E30E8BB}">
  <dimension ref="A1:AE32"/>
  <sheetViews>
    <sheetView tabSelected="1" topLeftCell="A4" zoomScaleNormal="100" workbookViewId="0">
      <selection activeCell="D7" sqref="D7"/>
    </sheetView>
  </sheetViews>
  <sheetFormatPr defaultRowHeight="12.75" x14ac:dyDescent="0.2"/>
  <cols>
    <col min="1" max="1" width="15.28515625" customWidth="1"/>
    <col min="2" max="2" width="15" bestFit="1" customWidth="1"/>
    <col min="3" max="4" width="15" customWidth="1"/>
    <col min="5" max="5" width="6.85546875" style="34" hidden="1" customWidth="1"/>
    <col min="6" max="6" width="15" customWidth="1"/>
    <col min="7" max="7" width="15" bestFit="1" customWidth="1"/>
    <col min="8" max="8" width="18" customWidth="1"/>
    <col min="9" max="9" width="2.5703125" customWidth="1"/>
    <col min="10" max="10" width="3.140625" customWidth="1"/>
    <col min="11" max="11" width="19.28515625" style="17" customWidth="1"/>
    <col min="12" max="12" width="3.28515625" customWidth="1"/>
    <col min="13" max="13" width="14" bestFit="1" customWidth="1"/>
    <col min="14" max="14" width="15" bestFit="1" customWidth="1"/>
    <col min="15" max="15" width="13.42578125" bestFit="1" customWidth="1"/>
    <col min="16" max="17" width="15" customWidth="1"/>
    <col min="18" max="18" width="14.5703125" customWidth="1"/>
    <col min="19" max="19" width="17" customWidth="1"/>
    <col min="20" max="21" width="15" customWidth="1"/>
    <col min="23" max="23" width="16" customWidth="1"/>
    <col min="24" max="25" width="15" customWidth="1"/>
    <col min="26" max="27" width="15" bestFit="1" customWidth="1"/>
    <col min="28" max="28" width="4.7109375" customWidth="1"/>
    <col min="29" max="29" width="15" bestFit="1" customWidth="1"/>
    <col min="30" max="31" width="15.5703125" bestFit="1" customWidth="1"/>
  </cols>
  <sheetData>
    <row r="1" spans="1:31" x14ac:dyDescent="0.2">
      <c r="A1" s="3" t="s">
        <v>45</v>
      </c>
    </row>
    <row r="2" spans="1:31" ht="15.75" x14ac:dyDescent="0.2">
      <c r="A2" s="6" t="s">
        <v>8</v>
      </c>
    </row>
    <row r="3" spans="1:31" ht="15.75" x14ac:dyDescent="0.2">
      <c r="A3" s="6" t="s">
        <v>4</v>
      </c>
      <c r="G3" t="s">
        <v>53</v>
      </c>
    </row>
    <row r="4" spans="1:31" s="20" customFormat="1" ht="51" x14ac:dyDescent="0.2">
      <c r="E4" s="24"/>
      <c r="H4" s="21"/>
      <c r="K4" s="22"/>
      <c r="M4" s="20" t="s">
        <v>57</v>
      </c>
      <c r="N4" s="25" t="s">
        <v>58</v>
      </c>
      <c r="O4" s="26" t="s">
        <v>59</v>
      </c>
      <c r="P4" s="26" t="s">
        <v>50</v>
      </c>
      <c r="Q4" s="26" t="s">
        <v>60</v>
      </c>
      <c r="R4" s="20" t="s">
        <v>61</v>
      </c>
      <c r="S4" s="24" t="s">
        <v>62</v>
      </c>
      <c r="T4" s="24" t="s">
        <v>51</v>
      </c>
      <c r="U4" s="24" t="s">
        <v>63</v>
      </c>
      <c r="V4" s="25" t="s">
        <v>64</v>
      </c>
      <c r="W4" s="26" t="s">
        <v>65</v>
      </c>
      <c r="X4" s="26" t="s">
        <v>52</v>
      </c>
      <c r="Y4" s="26" t="s">
        <v>66</v>
      </c>
      <c r="Z4" s="24" t="s">
        <v>67</v>
      </c>
      <c r="AA4" s="24" t="s">
        <v>68</v>
      </c>
      <c r="AC4" s="20" t="s">
        <v>46</v>
      </c>
      <c r="AD4" s="23" t="s">
        <v>44</v>
      </c>
      <c r="AE4" s="23" t="s">
        <v>49</v>
      </c>
    </row>
    <row r="5" spans="1:31" ht="51" x14ac:dyDescent="0.2">
      <c r="A5" s="19" t="s">
        <v>47</v>
      </c>
      <c r="B5" t="s">
        <v>42</v>
      </c>
      <c r="C5" s="20" t="s">
        <v>55</v>
      </c>
      <c r="D5" s="20" t="s">
        <v>75</v>
      </c>
      <c r="E5" s="24" t="s">
        <v>82</v>
      </c>
      <c r="F5" s="20" t="s">
        <v>56</v>
      </c>
      <c r="G5" t="s">
        <v>76</v>
      </c>
      <c r="H5" s="20" t="s">
        <v>73</v>
      </c>
      <c r="K5" s="22" t="s">
        <v>74</v>
      </c>
      <c r="N5" s="27"/>
      <c r="O5" s="27"/>
      <c r="P5" s="27"/>
      <c r="Q5" s="27"/>
      <c r="V5" s="27"/>
      <c r="W5" s="27"/>
      <c r="X5" s="27"/>
      <c r="Y5" s="27"/>
    </row>
    <row r="6" spans="1:31" x14ac:dyDescent="0.2">
      <c r="A6" t="s">
        <v>20</v>
      </c>
      <c r="B6" s="13">
        <f>Churchill!E33</f>
        <v>521398.57</v>
      </c>
      <c r="C6" s="13">
        <f>(B6*1.74%)+B6</f>
        <v>530470.905118</v>
      </c>
      <c r="D6" s="47">
        <f>(B6*4.52%)+B6</f>
        <v>544965.78536400001</v>
      </c>
      <c r="E6" s="46" t="s">
        <v>81</v>
      </c>
      <c r="F6" s="13" t="s">
        <v>83</v>
      </c>
      <c r="G6" s="13">
        <f>Churchill!G20</f>
        <v>918044</v>
      </c>
      <c r="H6" s="13">
        <f>G6-D6</f>
        <v>373078.21463599999</v>
      </c>
      <c r="K6" s="17" t="s">
        <v>83</v>
      </c>
      <c r="M6" s="17"/>
      <c r="N6" s="28"/>
      <c r="O6" s="28"/>
      <c r="P6" s="28"/>
      <c r="Q6" s="28"/>
      <c r="R6" s="13"/>
      <c r="S6" s="13"/>
      <c r="T6" s="17"/>
      <c r="U6" s="17">
        <f>R6+S6-T6</f>
        <v>0</v>
      </c>
      <c r="V6" s="27"/>
      <c r="W6" s="27"/>
      <c r="X6" s="28"/>
      <c r="Y6" s="28">
        <f>V6+W6-X6</f>
        <v>0</v>
      </c>
      <c r="Z6" s="13">
        <f>M6+Q6+U6+Y6</f>
        <v>0</v>
      </c>
      <c r="AA6" s="13">
        <f>M6+N6+R6+V6+W6+O6+S6</f>
        <v>0</v>
      </c>
      <c r="AC6" s="13">
        <f t="shared" ref="AC6:AC16" si="0">AVERAGE(M6:V6)*4</f>
        <v>0</v>
      </c>
      <c r="AD6" s="13" t="e">
        <f>AC6-#REF!</f>
        <v>#REF!</v>
      </c>
      <c r="AE6" s="13">
        <f>AC6-C7</f>
        <v>-365712.80320199998</v>
      </c>
    </row>
    <row r="7" spans="1:31" x14ac:dyDescent="0.2">
      <c r="A7" t="s">
        <v>79</v>
      </c>
      <c r="B7" s="13">
        <v>359458.23</v>
      </c>
      <c r="C7" s="13">
        <f>(B7*1.74%)+B7</f>
        <v>365712.80320199998</v>
      </c>
      <c r="D7" s="47">
        <f t="shared" ref="D7:D26" si="1">(B7*4.52%)+B7</f>
        <v>375705.741996</v>
      </c>
      <c r="E7" s="46" t="s">
        <v>81</v>
      </c>
      <c r="F7" s="13" t="s">
        <v>83</v>
      </c>
      <c r="G7" s="13">
        <f>Churchill!G20</f>
        <v>918044</v>
      </c>
      <c r="H7" s="47">
        <f t="shared" ref="H7:H16" si="2">G7-D7</f>
        <v>542338.25800399994</v>
      </c>
      <c r="K7" s="17" t="s">
        <v>83</v>
      </c>
      <c r="M7" s="17"/>
      <c r="N7" s="28"/>
      <c r="O7" s="28"/>
      <c r="P7" s="28"/>
      <c r="Q7" s="28"/>
      <c r="R7" s="13"/>
      <c r="S7" s="13"/>
      <c r="T7" s="17"/>
      <c r="U7" s="17">
        <f>R7+S7-T7</f>
        <v>0</v>
      </c>
      <c r="V7" s="27"/>
      <c r="W7" s="27"/>
      <c r="X7" s="28"/>
      <c r="Y7" s="28">
        <f>V7+W7-X7</f>
        <v>0</v>
      </c>
      <c r="Z7" s="13">
        <f>M7+Q7+U7+Y7</f>
        <v>0</v>
      </c>
      <c r="AA7" s="13">
        <f>M7+N7+R7+V7+W7+O7+S7</f>
        <v>0</v>
      </c>
      <c r="AC7" s="13">
        <f t="shared" ref="AC7" si="3">AVERAGE(M7:V7)*4</f>
        <v>0</v>
      </c>
      <c r="AD7" s="13" t="e">
        <f>AC7-#REF!</f>
        <v>#REF!</v>
      </c>
      <c r="AE7" s="13" t="e">
        <f>AC7-#REF!</f>
        <v>#REF!</v>
      </c>
    </row>
    <row r="8" spans="1:31" x14ac:dyDescent="0.2">
      <c r="A8" t="s">
        <v>22</v>
      </c>
      <c r="B8" s="13">
        <f>Douglas!E20</f>
        <v>875154.78000000014</v>
      </c>
      <c r="C8" s="13">
        <f t="shared" ref="C8:C26" si="4">(B8*1.74%)+B8</f>
        <v>890382.47317200014</v>
      </c>
      <c r="D8" s="13">
        <f t="shared" si="1"/>
        <v>914711.77605600015</v>
      </c>
      <c r="E8" s="46">
        <v>0.02</v>
      </c>
      <c r="F8" s="47">
        <f>(B8*2%)+B8</f>
        <v>892657.87560000014</v>
      </c>
      <c r="G8" s="13">
        <f>Douglas!G20</f>
        <v>1624000</v>
      </c>
      <c r="H8" s="13">
        <f t="shared" si="2"/>
        <v>709288.22394399985</v>
      </c>
      <c r="K8" s="48">
        <f>G8-F8</f>
        <v>731342.12439999986</v>
      </c>
      <c r="M8" s="17"/>
      <c r="N8" s="28"/>
      <c r="O8" s="28"/>
      <c r="P8" s="28"/>
      <c r="Q8" s="28"/>
      <c r="R8" s="13"/>
      <c r="S8" s="13"/>
      <c r="T8" s="17"/>
      <c r="U8" s="17">
        <f t="shared" ref="U8:U26" si="5">R8+S8-T8</f>
        <v>0</v>
      </c>
      <c r="V8" s="27"/>
      <c r="W8" s="27"/>
      <c r="X8" s="28"/>
      <c r="Y8" s="28">
        <f t="shared" ref="Y8:Y26" si="6">V8+W8-X8</f>
        <v>0</v>
      </c>
      <c r="Z8" s="13">
        <f t="shared" ref="Z8:Z26" si="7">M8+Q8+U8+Y8</f>
        <v>0</v>
      </c>
      <c r="AA8" s="13">
        <f t="shared" ref="AA8:AA26" si="8">M8+N8+R8+V8+W8+O8+S8</f>
        <v>0</v>
      </c>
      <c r="AC8" s="13">
        <f t="shared" si="0"/>
        <v>0</v>
      </c>
      <c r="AD8" s="13" t="e">
        <f>AC8-#REF!</f>
        <v>#REF!</v>
      </c>
      <c r="AE8" s="13">
        <f>AC8-C8</f>
        <v>-890382.47317200014</v>
      </c>
    </row>
    <row r="9" spans="1:31" x14ac:dyDescent="0.2">
      <c r="A9" t="s">
        <v>24</v>
      </c>
      <c r="B9" s="13">
        <f>Esmeralda!E20</f>
        <v>90606.815000000002</v>
      </c>
      <c r="C9" s="13">
        <f t="shared" si="4"/>
        <v>92183.373581000007</v>
      </c>
      <c r="D9" s="47">
        <f t="shared" si="1"/>
        <v>94702.243038000001</v>
      </c>
      <c r="E9" s="46" t="s">
        <v>81</v>
      </c>
      <c r="F9" s="13" t="s">
        <v>83</v>
      </c>
      <c r="G9" s="13">
        <f>Esmeralda!G20</f>
        <v>82000</v>
      </c>
      <c r="H9" s="47">
        <f t="shared" si="2"/>
        <v>-12702.243038000001</v>
      </c>
      <c r="K9" s="17" t="s">
        <v>83</v>
      </c>
      <c r="M9" s="17"/>
      <c r="N9" s="28"/>
      <c r="O9" s="28"/>
      <c r="P9" s="28"/>
      <c r="Q9" s="28"/>
      <c r="R9" s="13"/>
      <c r="S9" s="13"/>
      <c r="T9" s="17"/>
      <c r="U9" s="17">
        <f t="shared" si="5"/>
        <v>0</v>
      </c>
      <c r="V9" s="27"/>
      <c r="W9" s="27"/>
      <c r="X9" s="28"/>
      <c r="Y9" s="28">
        <f t="shared" si="6"/>
        <v>0</v>
      </c>
      <c r="Z9" s="13">
        <f t="shared" si="7"/>
        <v>0</v>
      </c>
      <c r="AA9" s="13">
        <f t="shared" si="8"/>
        <v>0</v>
      </c>
      <c r="AC9" s="13">
        <f t="shared" si="0"/>
        <v>0</v>
      </c>
      <c r="AD9" s="13" t="e">
        <f>AC9-#REF!</f>
        <v>#REF!</v>
      </c>
      <c r="AE9" s="13">
        <f>AC9-C9</f>
        <v>-92183.373581000007</v>
      </c>
    </row>
    <row r="10" spans="1:31" x14ac:dyDescent="0.2">
      <c r="A10" t="s">
        <v>25</v>
      </c>
      <c r="B10" s="13">
        <f>Eureka!E20</f>
        <v>40000</v>
      </c>
      <c r="C10" s="13">
        <f t="shared" si="4"/>
        <v>40696</v>
      </c>
      <c r="D10" s="47">
        <f t="shared" si="1"/>
        <v>41808</v>
      </c>
      <c r="E10" s="46" t="s">
        <v>81</v>
      </c>
      <c r="F10" s="13" t="s">
        <v>83</v>
      </c>
      <c r="G10" s="13">
        <f>Eureka!G20</f>
        <v>110000</v>
      </c>
      <c r="H10" s="47">
        <f t="shared" si="2"/>
        <v>68192</v>
      </c>
      <c r="K10" s="17" t="s">
        <v>83</v>
      </c>
      <c r="M10" s="17"/>
      <c r="N10" s="28"/>
      <c r="O10" s="28"/>
      <c r="P10" s="28"/>
      <c r="Q10" s="28"/>
      <c r="R10" s="13"/>
      <c r="S10" s="13"/>
      <c r="T10" s="17"/>
      <c r="U10" s="17">
        <f t="shared" si="5"/>
        <v>0</v>
      </c>
      <c r="V10" s="27"/>
      <c r="W10" s="27"/>
      <c r="X10" s="28"/>
      <c r="Y10" s="28">
        <f t="shared" si="6"/>
        <v>0</v>
      </c>
      <c r="Z10" s="13">
        <f t="shared" si="7"/>
        <v>0</v>
      </c>
      <c r="AA10" s="13">
        <f t="shared" si="8"/>
        <v>0</v>
      </c>
      <c r="AC10" s="13">
        <f t="shared" si="0"/>
        <v>0</v>
      </c>
      <c r="AD10" s="13" t="e">
        <f>AC10-#REF!</f>
        <v>#REF!</v>
      </c>
      <c r="AE10" s="13">
        <f>AC10-C10</f>
        <v>-40696</v>
      </c>
    </row>
    <row r="11" spans="1:31" x14ac:dyDescent="0.2">
      <c r="A11" t="s">
        <v>27</v>
      </c>
      <c r="B11" s="13">
        <f>Lander!E20</f>
        <v>99581.959999999992</v>
      </c>
      <c r="C11" s="13">
        <f t="shared" si="4"/>
        <v>101314.68610399999</v>
      </c>
      <c r="D11" s="13">
        <f t="shared" si="1"/>
        <v>104083.064592</v>
      </c>
      <c r="E11" s="45">
        <v>0.03</v>
      </c>
      <c r="F11" s="47">
        <f>(B11*3%)+B11</f>
        <v>102569.41879999998</v>
      </c>
      <c r="G11" s="13">
        <f>Lander!G20</f>
        <v>217099</v>
      </c>
      <c r="H11" s="13">
        <f t="shared" si="2"/>
        <v>113015.935408</v>
      </c>
      <c r="K11" s="48">
        <f t="shared" ref="K11:K16" si="9">G11-F11</f>
        <v>114529.58120000002</v>
      </c>
      <c r="M11" s="17"/>
      <c r="N11" s="28"/>
      <c r="O11" s="28"/>
      <c r="P11" s="28"/>
      <c r="Q11" s="28"/>
      <c r="R11" s="13"/>
      <c r="S11" s="13"/>
      <c r="T11" s="17"/>
      <c r="U11" s="17">
        <f t="shared" si="5"/>
        <v>0</v>
      </c>
      <c r="V11" s="27"/>
      <c r="W11" s="27"/>
      <c r="X11" s="28"/>
      <c r="Y11" s="28">
        <f t="shared" si="6"/>
        <v>0</v>
      </c>
      <c r="Z11" s="13">
        <f t="shared" si="7"/>
        <v>0</v>
      </c>
      <c r="AA11" s="13">
        <f t="shared" si="8"/>
        <v>0</v>
      </c>
      <c r="AC11" s="13">
        <f t="shared" si="0"/>
        <v>0</v>
      </c>
    </row>
    <row r="12" spans="1:31" x14ac:dyDescent="0.2">
      <c r="A12" t="s">
        <v>28</v>
      </c>
      <c r="B12" s="13">
        <f>Lincoln!E20</f>
        <v>179420</v>
      </c>
      <c r="C12" s="13">
        <f t="shared" si="4"/>
        <v>182541.908</v>
      </c>
      <c r="D12" s="47">
        <f t="shared" si="1"/>
        <v>187529.78399999999</v>
      </c>
      <c r="E12" s="46" t="s">
        <v>81</v>
      </c>
      <c r="F12" s="13" t="s">
        <v>83</v>
      </c>
      <c r="G12" s="13">
        <f>Lincoln!G20</f>
        <v>205000</v>
      </c>
      <c r="H12" s="47">
        <f t="shared" si="2"/>
        <v>17470.216000000015</v>
      </c>
      <c r="K12" s="17" t="s">
        <v>83</v>
      </c>
      <c r="M12" s="17"/>
      <c r="N12" s="28"/>
      <c r="O12" s="28"/>
      <c r="P12" s="28"/>
      <c r="Q12" s="28"/>
      <c r="R12" s="13"/>
      <c r="S12" s="13"/>
      <c r="T12" s="17"/>
      <c r="U12" s="17">
        <f t="shared" si="5"/>
        <v>0</v>
      </c>
      <c r="V12" s="27"/>
      <c r="W12" s="27"/>
      <c r="X12" s="28"/>
      <c r="Y12" s="28">
        <f t="shared" si="6"/>
        <v>0</v>
      </c>
      <c r="Z12" s="13">
        <f t="shared" si="7"/>
        <v>0</v>
      </c>
      <c r="AA12" s="13">
        <f t="shared" si="8"/>
        <v>0</v>
      </c>
      <c r="AC12" s="13">
        <f t="shared" si="0"/>
        <v>0</v>
      </c>
      <c r="AD12" s="13" t="e">
        <f>AC12-#REF!</f>
        <v>#REF!</v>
      </c>
      <c r="AE12" s="13">
        <f>AC12-C12</f>
        <v>-182541.908</v>
      </c>
    </row>
    <row r="13" spans="1:31" x14ac:dyDescent="0.2">
      <c r="A13" t="s">
        <v>29</v>
      </c>
      <c r="B13" s="13">
        <f>Lyon!E20</f>
        <v>818933.08</v>
      </c>
      <c r="C13" s="13">
        <f t="shared" si="4"/>
        <v>833182.51559199998</v>
      </c>
      <c r="D13" s="13">
        <f t="shared" si="1"/>
        <v>855948.855216</v>
      </c>
      <c r="E13" s="46">
        <v>0.04</v>
      </c>
      <c r="F13" s="47">
        <f>(B13*4%)+B13</f>
        <v>851690.40319999994</v>
      </c>
      <c r="G13" s="13">
        <f>Lyon!G20</f>
        <v>1667500</v>
      </c>
      <c r="H13" s="13">
        <f t="shared" si="2"/>
        <v>811551.144784</v>
      </c>
      <c r="K13" s="48">
        <f t="shared" si="9"/>
        <v>815809.59680000006</v>
      </c>
      <c r="M13" s="17"/>
      <c r="N13" s="28"/>
      <c r="O13" s="28"/>
      <c r="P13" s="28"/>
      <c r="Q13" s="28"/>
      <c r="R13" s="13"/>
      <c r="S13" s="13"/>
      <c r="T13" s="17"/>
      <c r="U13" s="17">
        <f t="shared" si="5"/>
        <v>0</v>
      </c>
      <c r="V13" s="27"/>
      <c r="W13" s="27"/>
      <c r="X13" s="28"/>
      <c r="Y13" s="28">
        <f t="shared" si="6"/>
        <v>0</v>
      </c>
      <c r="Z13" s="13">
        <f t="shared" si="7"/>
        <v>0</v>
      </c>
      <c r="AA13" s="13">
        <f t="shared" si="8"/>
        <v>0</v>
      </c>
      <c r="AC13" s="13">
        <f t="shared" si="0"/>
        <v>0</v>
      </c>
      <c r="AD13" s="13" t="e">
        <f>AC13-#REF!</f>
        <v>#REF!</v>
      </c>
      <c r="AE13" s="13">
        <f>AC13-C13</f>
        <v>-833182.51559199998</v>
      </c>
    </row>
    <row r="14" spans="1:31" x14ac:dyDescent="0.2">
      <c r="A14" t="s">
        <v>30</v>
      </c>
      <c r="B14" s="13">
        <f>Mineral!E20</f>
        <v>91813</v>
      </c>
      <c r="C14" s="13">
        <f t="shared" si="4"/>
        <v>93410.546199999997</v>
      </c>
      <c r="D14" s="47">
        <f t="shared" si="1"/>
        <v>95962.9476</v>
      </c>
      <c r="E14" s="46" t="s">
        <v>81</v>
      </c>
      <c r="F14" s="13" t="s">
        <v>83</v>
      </c>
      <c r="G14" s="13">
        <f>Mineral!G20</f>
        <v>182000</v>
      </c>
      <c r="H14" s="47">
        <f t="shared" si="2"/>
        <v>86037.0524</v>
      </c>
      <c r="K14" s="17" t="s">
        <v>83</v>
      </c>
      <c r="M14" s="17"/>
      <c r="N14" s="28"/>
      <c r="O14" s="28"/>
      <c r="P14" s="28"/>
      <c r="Q14" s="28"/>
      <c r="R14" s="13"/>
      <c r="S14" s="13"/>
      <c r="T14" s="17"/>
      <c r="U14" s="17">
        <f t="shared" si="5"/>
        <v>0</v>
      </c>
      <c r="V14" s="27"/>
      <c r="W14" s="27"/>
      <c r="X14" s="28"/>
      <c r="Y14" s="28">
        <f t="shared" si="6"/>
        <v>0</v>
      </c>
      <c r="Z14" s="13">
        <f t="shared" si="7"/>
        <v>0</v>
      </c>
      <c r="AA14" s="13">
        <f t="shared" si="8"/>
        <v>0</v>
      </c>
      <c r="AC14" s="13">
        <f t="shared" si="0"/>
        <v>0</v>
      </c>
      <c r="AD14" s="13" t="e">
        <f>AC14-#REF!</f>
        <v>#REF!</v>
      </c>
      <c r="AE14" s="13">
        <f>AC14-C14</f>
        <v>-93410.546199999997</v>
      </c>
    </row>
    <row r="15" spans="1:31" x14ac:dyDescent="0.2">
      <c r="A15" t="s">
        <v>31</v>
      </c>
      <c r="B15" s="13">
        <f>Nye!E20</f>
        <v>828596.54499999993</v>
      </c>
      <c r="C15" s="13">
        <f t="shared" si="4"/>
        <v>843014.12488299992</v>
      </c>
      <c r="D15" s="47">
        <f t="shared" si="1"/>
        <v>866049.10883399996</v>
      </c>
      <c r="E15" s="46" t="s">
        <v>81</v>
      </c>
      <c r="F15" s="13" t="s">
        <v>83</v>
      </c>
      <c r="G15" s="13">
        <f>Nye!G20</f>
        <v>955000</v>
      </c>
      <c r="H15" s="47">
        <f t="shared" si="2"/>
        <v>88950.891166000045</v>
      </c>
      <c r="K15" s="17" t="s">
        <v>83</v>
      </c>
      <c r="M15" s="17"/>
      <c r="N15" s="28"/>
      <c r="O15" s="28"/>
      <c r="P15" s="28"/>
      <c r="Q15" s="28"/>
      <c r="R15" s="13"/>
      <c r="S15" s="13"/>
      <c r="T15" s="17"/>
      <c r="U15" s="17">
        <f t="shared" si="5"/>
        <v>0</v>
      </c>
      <c r="V15" s="27"/>
      <c r="W15" s="27"/>
      <c r="X15" s="28"/>
      <c r="Y15" s="28">
        <f t="shared" si="6"/>
        <v>0</v>
      </c>
      <c r="Z15" s="13">
        <f t="shared" si="7"/>
        <v>0</v>
      </c>
      <c r="AA15" s="13">
        <f t="shared" si="8"/>
        <v>0</v>
      </c>
      <c r="AC15" s="13">
        <f t="shared" si="0"/>
        <v>0</v>
      </c>
      <c r="AD15" s="13" t="e">
        <f>AC15-#REF!</f>
        <v>#REF!</v>
      </c>
      <c r="AE15" s="13">
        <f>AC15-C15</f>
        <v>-843014.12488299992</v>
      </c>
    </row>
    <row r="16" spans="1:31" x14ac:dyDescent="0.2">
      <c r="A16" t="s">
        <v>35</v>
      </c>
      <c r="B16" s="13">
        <f>'White Pine'!E20</f>
        <v>452400</v>
      </c>
      <c r="C16" s="13">
        <f t="shared" si="4"/>
        <v>460271.76</v>
      </c>
      <c r="D16" s="13">
        <f t="shared" si="1"/>
        <v>472848.48</v>
      </c>
      <c r="E16" s="46">
        <v>0.02</v>
      </c>
      <c r="F16" s="47">
        <f>(B16*2%)+B16</f>
        <v>461448</v>
      </c>
      <c r="G16" s="13">
        <f>'White Pine'!G20</f>
        <v>643290</v>
      </c>
      <c r="H16" s="13">
        <f t="shared" si="2"/>
        <v>170441.52000000002</v>
      </c>
      <c r="K16" s="48">
        <f t="shared" si="9"/>
        <v>181842</v>
      </c>
      <c r="M16" s="17"/>
      <c r="N16" s="28"/>
      <c r="O16" s="28"/>
      <c r="P16" s="28"/>
      <c r="Q16" s="28"/>
      <c r="R16" s="13"/>
      <c r="S16" s="13"/>
      <c r="T16" s="17"/>
      <c r="U16" s="17">
        <f t="shared" si="5"/>
        <v>0</v>
      </c>
      <c r="V16" s="27"/>
      <c r="W16" s="27"/>
      <c r="X16" s="28"/>
      <c r="Y16" s="28">
        <f t="shared" si="6"/>
        <v>0</v>
      </c>
      <c r="Z16" s="13">
        <f t="shared" si="7"/>
        <v>0</v>
      </c>
      <c r="AA16" s="13">
        <f t="shared" si="8"/>
        <v>0</v>
      </c>
      <c r="AC16" s="13">
        <f t="shared" si="0"/>
        <v>0</v>
      </c>
      <c r="AD16" s="13" t="e">
        <f>AC16-#REF!</f>
        <v>#REF!</v>
      </c>
      <c r="AE16" s="13">
        <f>AC16-C16</f>
        <v>-460271.76</v>
      </c>
    </row>
    <row r="17" spans="1:31" x14ac:dyDescent="0.2">
      <c r="B17" s="13"/>
      <c r="C17" s="13"/>
      <c r="D17" s="13"/>
      <c r="E17" s="44"/>
      <c r="F17" s="13"/>
      <c r="G17" s="13"/>
      <c r="H17" s="13"/>
      <c r="M17" s="17"/>
      <c r="N17" s="28"/>
      <c r="O17" s="28"/>
      <c r="P17" s="28"/>
      <c r="Q17" s="28"/>
      <c r="R17" s="13"/>
      <c r="S17" s="13"/>
      <c r="T17" s="17"/>
      <c r="U17" s="17"/>
      <c r="V17" s="27"/>
      <c r="W17" s="27"/>
      <c r="X17" s="28"/>
      <c r="Y17" s="28"/>
      <c r="Z17" s="13"/>
      <c r="AA17" s="13"/>
      <c r="AC17" s="13"/>
      <c r="AD17" s="13"/>
      <c r="AE17" s="13"/>
    </row>
    <row r="18" spans="1:31" x14ac:dyDescent="0.2">
      <c r="B18" s="13"/>
      <c r="C18" s="13"/>
      <c r="D18" s="13"/>
      <c r="E18" s="44"/>
      <c r="F18" s="51" t="s">
        <v>84</v>
      </c>
      <c r="G18" s="51"/>
      <c r="H18" s="50">
        <f>H7+K8+H10+H12+K13+H14+H15+K16</f>
        <v>2531982.1387700001</v>
      </c>
      <c r="M18" s="17"/>
      <c r="N18" s="28"/>
      <c r="O18" s="28"/>
      <c r="P18" s="28"/>
      <c r="Q18" s="28"/>
      <c r="R18" s="13"/>
      <c r="S18" s="13"/>
      <c r="T18" s="17"/>
      <c r="U18" s="17"/>
      <c r="V18" s="27"/>
      <c r="W18" s="27"/>
      <c r="X18" s="28"/>
      <c r="Y18" s="28"/>
      <c r="Z18" s="13"/>
      <c r="AA18" s="13"/>
      <c r="AC18" s="13"/>
      <c r="AD18" s="13"/>
      <c r="AE18" s="13"/>
    </row>
    <row r="19" spans="1:31" x14ac:dyDescent="0.2">
      <c r="A19" s="19" t="s">
        <v>48</v>
      </c>
      <c r="B19" s="13"/>
      <c r="C19" s="13"/>
      <c r="D19" s="13"/>
      <c r="E19" s="44"/>
      <c r="F19" s="13"/>
      <c r="G19" s="13"/>
      <c r="H19" s="13"/>
      <c r="M19" s="17"/>
      <c r="N19" s="28"/>
      <c r="O19" s="28"/>
      <c r="P19" s="28"/>
      <c r="Q19" s="28"/>
      <c r="R19" s="13"/>
      <c r="S19" s="13"/>
      <c r="T19" s="17"/>
      <c r="U19" s="17"/>
      <c r="V19" s="27"/>
      <c r="W19" s="27"/>
      <c r="X19" s="28"/>
      <c r="Y19" s="28"/>
      <c r="Z19" s="13"/>
      <c r="AA19" s="13"/>
      <c r="AC19" s="13"/>
      <c r="AD19" s="13"/>
    </row>
    <row r="20" spans="1:31" x14ac:dyDescent="0.2">
      <c r="A20" t="s">
        <v>41</v>
      </c>
      <c r="B20" s="13">
        <f>Carson!E20</f>
        <v>1865859.5</v>
      </c>
      <c r="C20" s="13">
        <f t="shared" si="4"/>
        <v>1898325.4553</v>
      </c>
      <c r="D20" s="13">
        <f t="shared" si="1"/>
        <v>1950196.3493999999</v>
      </c>
      <c r="E20" s="46">
        <v>0.02</v>
      </c>
      <c r="F20" s="47">
        <f>(B20*2%)+B20</f>
        <v>1903176.69</v>
      </c>
      <c r="G20" s="13">
        <f>Carson!G20</f>
        <v>1867637</v>
      </c>
      <c r="H20" s="13">
        <f t="shared" ref="H20:H26" si="10">G20-D20</f>
        <v>-82559.349399999948</v>
      </c>
      <c r="K20" s="48">
        <f t="shared" ref="K20:K26" si="11">G20-F20</f>
        <v>-35539.689999999944</v>
      </c>
      <c r="M20" s="17"/>
      <c r="N20" s="28"/>
      <c r="O20" s="28"/>
      <c r="P20" s="28"/>
      <c r="Q20" s="28"/>
      <c r="R20" s="13"/>
      <c r="S20" s="13"/>
      <c r="T20" s="17"/>
      <c r="U20" s="17">
        <f t="shared" si="5"/>
        <v>0</v>
      </c>
      <c r="V20" s="27"/>
      <c r="W20" s="27"/>
      <c r="X20" s="28"/>
      <c r="Y20" s="28">
        <f t="shared" si="6"/>
        <v>0</v>
      </c>
      <c r="Z20" s="13">
        <f t="shared" si="7"/>
        <v>0</v>
      </c>
      <c r="AA20" s="13">
        <f t="shared" si="8"/>
        <v>0</v>
      </c>
      <c r="AC20" s="13">
        <f t="shared" ref="AC20:AC26" si="12">AVERAGE(M20:V20)*4</f>
        <v>0</v>
      </c>
      <c r="AD20" s="13" t="e">
        <f>AC20-#REF!</f>
        <v>#REF!</v>
      </c>
      <c r="AE20" s="13">
        <f t="shared" ref="AE20:AE26" si="13">AC20-C20</f>
        <v>-1898325.4553</v>
      </c>
    </row>
    <row r="21" spans="1:31" x14ac:dyDescent="0.2">
      <c r="A21" t="s">
        <v>21</v>
      </c>
      <c r="B21" s="13">
        <f>Clark!E21</f>
        <v>46369102.824999996</v>
      </c>
      <c r="C21" s="13">
        <f t="shared" si="4"/>
        <v>47175925.214154996</v>
      </c>
      <c r="D21" s="47">
        <f t="shared" si="1"/>
        <v>48464986.272689998</v>
      </c>
      <c r="E21" s="46" t="s">
        <v>81</v>
      </c>
      <c r="F21" s="13" t="s">
        <v>83</v>
      </c>
      <c r="G21" s="13">
        <f>Clark!G21</f>
        <v>55498054</v>
      </c>
      <c r="H21" s="49">
        <f t="shared" si="10"/>
        <v>7033067.7273100019</v>
      </c>
      <c r="K21" s="17" t="s">
        <v>83</v>
      </c>
      <c r="M21" s="17"/>
      <c r="N21" s="28"/>
      <c r="O21" s="28"/>
      <c r="P21" s="28"/>
      <c r="Q21" s="28"/>
      <c r="R21" s="13"/>
      <c r="S21" s="13"/>
      <c r="T21" s="17"/>
      <c r="U21" s="17">
        <f t="shared" si="5"/>
        <v>0</v>
      </c>
      <c r="V21" s="27"/>
      <c r="W21" s="27"/>
      <c r="X21" s="28"/>
      <c r="Y21" s="28">
        <f t="shared" si="6"/>
        <v>0</v>
      </c>
      <c r="Z21" s="13">
        <f t="shared" si="7"/>
        <v>0</v>
      </c>
      <c r="AA21" s="13">
        <f t="shared" si="8"/>
        <v>0</v>
      </c>
      <c r="AC21" s="13">
        <f t="shared" si="12"/>
        <v>0</v>
      </c>
      <c r="AD21" s="13" t="e">
        <f>AC21-#REF!</f>
        <v>#REF!</v>
      </c>
      <c r="AE21" s="13">
        <f t="shared" si="13"/>
        <v>-47175925.214154996</v>
      </c>
    </row>
    <row r="22" spans="1:31" x14ac:dyDescent="0.2">
      <c r="A22" t="s">
        <v>23</v>
      </c>
      <c r="B22" s="13">
        <f>Elko!E20</f>
        <v>1862165</v>
      </c>
      <c r="C22" s="13">
        <f t="shared" si="4"/>
        <v>1894566.6710000001</v>
      </c>
      <c r="D22" s="47">
        <f t="shared" si="1"/>
        <v>1946334.858</v>
      </c>
      <c r="E22" s="46" t="s">
        <v>81</v>
      </c>
      <c r="F22" s="13" t="s">
        <v>83</v>
      </c>
      <c r="G22" s="13">
        <f>Elko!G20</f>
        <v>2663766</v>
      </c>
      <c r="H22" s="47">
        <f t="shared" si="10"/>
        <v>717431.14199999999</v>
      </c>
      <c r="K22" s="17" t="s">
        <v>83</v>
      </c>
      <c r="M22" s="17"/>
      <c r="N22" s="28"/>
      <c r="O22" s="28"/>
      <c r="P22" s="28"/>
      <c r="Q22" s="28"/>
      <c r="R22" s="13"/>
      <c r="S22" s="13"/>
      <c r="T22" s="17"/>
      <c r="U22" s="17">
        <f t="shared" si="5"/>
        <v>0</v>
      </c>
      <c r="V22" s="27"/>
      <c r="W22" s="27"/>
      <c r="X22" s="28"/>
      <c r="Y22" s="28">
        <f t="shared" si="6"/>
        <v>0</v>
      </c>
      <c r="Z22" s="13">
        <f t="shared" si="7"/>
        <v>0</v>
      </c>
      <c r="AA22" s="13">
        <f t="shared" si="8"/>
        <v>0</v>
      </c>
      <c r="AC22" s="13">
        <f t="shared" si="12"/>
        <v>0</v>
      </c>
      <c r="AD22" s="13" t="e">
        <f>AC22-#REF!</f>
        <v>#REF!</v>
      </c>
      <c r="AE22" s="13">
        <f t="shared" si="13"/>
        <v>-1894566.6710000001</v>
      </c>
    </row>
    <row r="23" spans="1:31" x14ac:dyDescent="0.2">
      <c r="A23" t="s">
        <v>26</v>
      </c>
      <c r="B23" s="13">
        <f>Humboldt!E20</f>
        <v>474345</v>
      </c>
      <c r="C23" s="13">
        <f t="shared" si="4"/>
        <v>482598.603</v>
      </c>
      <c r="D23" s="13">
        <f t="shared" si="1"/>
        <v>495785.39399999997</v>
      </c>
      <c r="E23" s="46">
        <v>0.04</v>
      </c>
      <c r="F23" s="47">
        <f>(B23*4%)+B23</f>
        <v>493318.8</v>
      </c>
      <c r="G23" s="13">
        <f>Humboldt!G20</f>
        <v>652130</v>
      </c>
      <c r="H23" s="13">
        <f t="shared" si="10"/>
        <v>156344.60600000003</v>
      </c>
      <c r="K23" s="48">
        <f t="shared" si="11"/>
        <v>158811.20000000001</v>
      </c>
      <c r="M23" s="17"/>
      <c r="N23" s="28"/>
      <c r="O23" s="28"/>
      <c r="P23" s="28"/>
      <c r="Q23" s="28"/>
      <c r="R23" s="13"/>
      <c r="S23" s="13"/>
      <c r="T23" s="17"/>
      <c r="U23" s="17">
        <f t="shared" si="5"/>
        <v>0</v>
      </c>
      <c r="V23" s="27"/>
      <c r="W23" s="27"/>
      <c r="X23" s="28"/>
      <c r="Y23" s="28">
        <f t="shared" si="6"/>
        <v>0</v>
      </c>
      <c r="Z23" s="13">
        <f t="shared" si="7"/>
        <v>0</v>
      </c>
      <c r="AA23" s="13">
        <f t="shared" si="8"/>
        <v>0</v>
      </c>
      <c r="AC23" s="13">
        <f t="shared" si="12"/>
        <v>0</v>
      </c>
      <c r="AD23" s="13" t="e">
        <f>AC23-#REF!</f>
        <v>#REF!</v>
      </c>
      <c r="AE23" s="13">
        <f t="shared" si="13"/>
        <v>-482598.603</v>
      </c>
    </row>
    <row r="24" spans="1:31" x14ac:dyDescent="0.2">
      <c r="A24" t="s">
        <v>32</v>
      </c>
      <c r="B24" s="13">
        <f>Pershing!E20</f>
        <v>246998.505</v>
      </c>
      <c r="C24" s="13">
        <f t="shared" si="4"/>
        <v>251296.278987</v>
      </c>
      <c r="D24" s="47">
        <f t="shared" si="1"/>
        <v>258162.83742600001</v>
      </c>
      <c r="E24" s="46" t="s">
        <v>81</v>
      </c>
      <c r="F24" s="13" t="s">
        <v>83</v>
      </c>
      <c r="G24" s="13">
        <f>Pershing!G20</f>
        <v>271422</v>
      </c>
      <c r="H24" s="47">
        <f t="shared" si="10"/>
        <v>13259.162573999987</v>
      </c>
      <c r="K24" s="17" t="s">
        <v>83</v>
      </c>
      <c r="M24" s="17"/>
      <c r="N24" s="28"/>
      <c r="O24" s="28"/>
      <c r="P24" s="28"/>
      <c r="Q24" s="28"/>
      <c r="R24" s="13"/>
      <c r="S24" s="13"/>
      <c r="T24" s="17"/>
      <c r="U24" s="17">
        <f t="shared" si="5"/>
        <v>0</v>
      </c>
      <c r="V24" s="27"/>
      <c r="W24" s="27"/>
      <c r="X24" s="28"/>
      <c r="Y24" s="28">
        <f t="shared" si="6"/>
        <v>0</v>
      </c>
      <c r="Z24" s="13">
        <f t="shared" si="7"/>
        <v>0</v>
      </c>
      <c r="AA24" s="13">
        <f t="shared" si="8"/>
        <v>0</v>
      </c>
      <c r="AC24" s="13">
        <f t="shared" si="12"/>
        <v>0</v>
      </c>
      <c r="AD24" s="13" t="e">
        <f>AC24-#REF!</f>
        <v>#REF!</v>
      </c>
      <c r="AE24" s="13">
        <f t="shared" si="13"/>
        <v>-251296.278987</v>
      </c>
    </row>
    <row r="25" spans="1:31" x14ac:dyDescent="0.2">
      <c r="A25" t="s">
        <v>33</v>
      </c>
      <c r="B25" s="13">
        <f>Storey!E20</f>
        <v>89545.514999999985</v>
      </c>
      <c r="C25" s="13">
        <f t="shared" si="4"/>
        <v>91103.606960999983</v>
      </c>
      <c r="D25" s="47">
        <f t="shared" si="1"/>
        <v>93592.972277999987</v>
      </c>
      <c r="E25" s="46" t="s">
        <v>81</v>
      </c>
      <c r="F25" s="13" t="s">
        <v>83</v>
      </c>
      <c r="G25" s="13">
        <f>Storey!G20</f>
        <v>142442</v>
      </c>
      <c r="H25" s="47">
        <f t="shared" si="10"/>
        <v>48849.027722000013</v>
      </c>
      <c r="K25" s="17" t="s">
        <v>83</v>
      </c>
      <c r="M25" s="17"/>
      <c r="N25" s="30"/>
      <c r="O25" s="27"/>
      <c r="P25" s="27"/>
      <c r="Q25" s="28"/>
      <c r="R25" s="13"/>
      <c r="S25" s="13"/>
      <c r="U25" s="17">
        <f t="shared" si="5"/>
        <v>0</v>
      </c>
      <c r="V25" s="27"/>
      <c r="W25" s="27"/>
      <c r="X25" s="27"/>
      <c r="Y25" s="28">
        <f t="shared" si="6"/>
        <v>0</v>
      </c>
      <c r="Z25" s="13">
        <f t="shared" si="7"/>
        <v>0</v>
      </c>
      <c r="AA25" s="13">
        <f t="shared" si="8"/>
        <v>0</v>
      </c>
      <c r="AC25" s="13">
        <f t="shared" si="12"/>
        <v>0</v>
      </c>
      <c r="AD25" s="13" t="e">
        <f>AC25-#REF!</f>
        <v>#REF!</v>
      </c>
      <c r="AE25" s="13">
        <f t="shared" si="13"/>
        <v>-91103.606960999983</v>
      </c>
    </row>
    <row r="26" spans="1:31" x14ac:dyDescent="0.2">
      <c r="A26" t="s">
        <v>34</v>
      </c>
      <c r="B26" s="13">
        <f>Washoe!E20</f>
        <v>13743947</v>
      </c>
      <c r="C26" s="13">
        <f t="shared" si="4"/>
        <v>13983091.6778</v>
      </c>
      <c r="D26" s="13">
        <f t="shared" si="1"/>
        <v>14365173.4044</v>
      </c>
      <c r="E26" s="46">
        <v>2.5000000000000001E-2</v>
      </c>
      <c r="F26" s="47">
        <f>(B26*2.5%)+B26</f>
        <v>14087545.675000001</v>
      </c>
      <c r="G26" s="13">
        <f>Washoe!G20</f>
        <v>11497909</v>
      </c>
      <c r="H26" s="13">
        <f t="shared" si="10"/>
        <v>-2867264.4044000003</v>
      </c>
      <c r="K26" s="17">
        <f t="shared" si="11"/>
        <v>-2589636.6750000007</v>
      </c>
      <c r="M26" s="17"/>
      <c r="N26" s="28"/>
      <c r="O26" s="28"/>
      <c r="P26" s="28"/>
      <c r="Q26" s="28">
        <f t="shared" ref="Q26" si="14">N26+O26-P26</f>
        <v>0</v>
      </c>
      <c r="T26" s="17"/>
      <c r="U26" s="17">
        <f t="shared" si="5"/>
        <v>0</v>
      </c>
      <c r="V26" s="27"/>
      <c r="W26" s="27"/>
      <c r="X26" s="28"/>
      <c r="Y26" s="28">
        <f t="shared" si="6"/>
        <v>0</v>
      </c>
      <c r="Z26" s="13">
        <f t="shared" si="7"/>
        <v>0</v>
      </c>
      <c r="AA26" s="13">
        <f t="shared" si="8"/>
        <v>0</v>
      </c>
      <c r="AC26" s="13">
        <f t="shared" si="12"/>
        <v>0</v>
      </c>
      <c r="AD26" s="13" t="e">
        <f>AC26-#REF!</f>
        <v>#REF!</v>
      </c>
      <c r="AE26" s="13">
        <f t="shared" si="13"/>
        <v>-13983091.6778</v>
      </c>
    </row>
    <row r="27" spans="1:31" x14ac:dyDescent="0.2">
      <c r="B27" s="13"/>
      <c r="C27" s="13"/>
      <c r="D27" s="13"/>
      <c r="E27" s="44"/>
      <c r="F27" s="13"/>
      <c r="G27" s="13"/>
      <c r="H27" s="13"/>
      <c r="M27" s="17"/>
      <c r="N27" s="27"/>
      <c r="O27" s="27"/>
      <c r="P27" s="27"/>
      <c r="Q27" s="27"/>
      <c r="V27" s="27"/>
      <c r="W27" s="27"/>
      <c r="X27" s="27"/>
      <c r="Y27" s="27"/>
      <c r="AC27" s="13"/>
      <c r="AD27" s="13"/>
    </row>
    <row r="28" spans="1:31" ht="13.5" thickBot="1" x14ac:dyDescent="0.25">
      <c r="H28" s="14">
        <f>SUM(H6:H27)</f>
        <v>10518771.263880001</v>
      </c>
      <c r="K28" s="18">
        <f>SUM(K6:K27)</f>
        <v>-622841.86260000081</v>
      </c>
      <c r="M28" s="14">
        <f>SUM(M6:M27)</f>
        <v>0</v>
      </c>
      <c r="N28" s="27"/>
      <c r="O28" s="27"/>
      <c r="P28" s="27"/>
      <c r="Q28" s="29">
        <f>SUM(Q6:Q26)</f>
        <v>0</v>
      </c>
      <c r="U28" s="14">
        <f>SUM(U6:U26)</f>
        <v>0</v>
      </c>
      <c r="V28" s="27"/>
      <c r="W28" s="27"/>
      <c r="X28" s="27"/>
      <c r="Y28" s="29">
        <f>SUM(Y6:Y26)</f>
        <v>0</v>
      </c>
      <c r="Z28" s="13">
        <f>SUM(Z20:Z27)</f>
        <v>0</v>
      </c>
      <c r="AA28" s="13">
        <f>SUM(AA20:AA27)</f>
        <v>0</v>
      </c>
    </row>
    <row r="29" spans="1:31" ht="13.5" thickTop="1" x14ac:dyDescent="0.2"/>
    <row r="30" spans="1:31" x14ac:dyDescent="0.2">
      <c r="F30" t="s">
        <v>85</v>
      </c>
      <c r="H30" s="50">
        <f>H22+K23+H24+H25</f>
        <v>938350.53229599993</v>
      </c>
    </row>
    <row r="32" spans="1:31" x14ac:dyDescent="0.2">
      <c r="G32" t="s">
        <v>86</v>
      </c>
      <c r="H32" s="50">
        <f>H18+H30</f>
        <v>3470332.6710660001</v>
      </c>
    </row>
  </sheetData>
  <mergeCells count="1">
    <mergeCell ref="F18:G18"/>
  </mergeCells>
  <pageMargins left="0.7" right="0.7" top="0.75" bottom="0.75" header="0.3" footer="0.3"/>
  <pageSetup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2A4F-E992-4629-BEFB-6D3E225536D4}">
  <sheetPr>
    <tabColor rgb="FF92D050"/>
    <pageSetUpPr fitToPage="1"/>
  </sheetPr>
  <dimension ref="A1:O20"/>
  <sheetViews>
    <sheetView zoomScale="90" zoomScaleNormal="90" workbookViewId="0">
      <selection activeCell="G14" sqref="G14"/>
    </sheetView>
  </sheetViews>
  <sheetFormatPr defaultRowHeight="12.75" x14ac:dyDescent="0.2"/>
  <cols>
    <col min="1" max="1" width="17.28515625" customWidth="1"/>
    <col min="2" max="2" width="19.28515625" bestFit="1" customWidth="1"/>
    <col min="3" max="3" width="19.140625" customWidth="1"/>
    <col min="4" max="4" width="12.140625" bestFit="1" customWidth="1"/>
    <col min="5" max="5" width="12.42578125" bestFit="1" customWidth="1"/>
    <col min="6" max="6" width="5.7109375" customWidth="1"/>
    <col min="7" max="15" width="14.7109375" customWidth="1"/>
  </cols>
  <sheetData>
    <row r="1" spans="1:15" x14ac:dyDescent="0.2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" customHeight="1" x14ac:dyDescent="0.2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customHeight="1" x14ac:dyDescent="0.2">
      <c r="A4" s="1"/>
      <c r="B4" s="1"/>
      <c r="C4" s="1"/>
      <c r="D4" s="1"/>
      <c r="E4" s="1"/>
      <c r="F4" s="1"/>
      <c r="G4" s="1"/>
      <c r="H4" s="1"/>
    </row>
    <row r="5" spans="1:15" x14ac:dyDescent="0.2">
      <c r="A5" s="5" t="s">
        <v>25</v>
      </c>
      <c r="B5" s="1"/>
      <c r="C5" s="1"/>
      <c r="D5" s="1"/>
      <c r="E5" s="1"/>
      <c r="F5" s="1"/>
      <c r="G5" s="1"/>
      <c r="H5" s="1"/>
    </row>
    <row r="6" spans="1:15" x14ac:dyDescent="0.2">
      <c r="A6" s="1"/>
      <c r="B6" s="1"/>
      <c r="C6" s="1"/>
      <c r="D6" s="1"/>
      <c r="E6" s="1"/>
      <c r="F6" s="1"/>
      <c r="G6" s="1"/>
      <c r="H6" s="1"/>
    </row>
    <row r="7" spans="1:15" x14ac:dyDescent="0.2">
      <c r="A7" s="5" t="s">
        <v>16</v>
      </c>
      <c r="B7" s="1"/>
      <c r="C7" s="1"/>
      <c r="D7" s="1"/>
      <c r="E7" s="1"/>
      <c r="F7" s="1"/>
      <c r="G7" s="1" t="s">
        <v>54</v>
      </c>
      <c r="H7" s="1"/>
      <c r="J7" t="s">
        <v>69</v>
      </c>
    </row>
    <row r="8" spans="1:15" x14ac:dyDescent="0.2">
      <c r="A8" s="5"/>
      <c r="B8" s="1" t="s">
        <v>7</v>
      </c>
      <c r="C8" s="8"/>
      <c r="D8" s="1"/>
      <c r="E8" s="1"/>
      <c r="F8" s="1"/>
      <c r="G8" s="12">
        <v>44743</v>
      </c>
      <c r="H8" s="1"/>
      <c r="J8" s="32">
        <v>44013</v>
      </c>
    </row>
    <row r="9" spans="1:15" x14ac:dyDescent="0.2">
      <c r="A9" s="5"/>
      <c r="B9" s="1" t="s">
        <v>6</v>
      </c>
      <c r="C9" s="10">
        <v>2018</v>
      </c>
      <c r="D9" s="1">
        <v>2019</v>
      </c>
      <c r="E9" s="1" t="s">
        <v>18</v>
      </c>
      <c r="F9" s="1"/>
      <c r="G9" s="12">
        <v>45107</v>
      </c>
      <c r="H9" s="1" t="s">
        <v>19</v>
      </c>
      <c r="J9" s="32">
        <v>44377</v>
      </c>
    </row>
    <row r="10" spans="1:15" x14ac:dyDescent="0.2">
      <c r="A10" s="1"/>
      <c r="B10" s="1"/>
      <c r="C10" s="1"/>
      <c r="D10" s="1"/>
      <c r="E10" s="1"/>
      <c r="F10" s="1"/>
      <c r="G10" s="1"/>
      <c r="H10" s="1"/>
    </row>
    <row r="11" spans="1:15" x14ac:dyDescent="0.2">
      <c r="A11" s="5" t="s">
        <v>17</v>
      </c>
      <c r="B11" s="1"/>
      <c r="C11" s="1"/>
      <c r="D11" s="1"/>
      <c r="E11" s="1"/>
      <c r="F11" s="1"/>
      <c r="G11" s="1"/>
      <c r="H11" s="1"/>
    </row>
    <row r="12" spans="1:15" x14ac:dyDescent="0.2">
      <c r="A12" s="1"/>
      <c r="B12" s="1" t="s">
        <v>9</v>
      </c>
      <c r="C12" s="7">
        <v>0</v>
      </c>
      <c r="D12" s="7">
        <v>0</v>
      </c>
      <c r="E12" s="7">
        <f>(C12+D12)/2</f>
        <v>0</v>
      </c>
      <c r="F12" s="1"/>
      <c r="G12" s="7">
        <v>0</v>
      </c>
      <c r="H12" s="11">
        <f>G12-E12</f>
        <v>0</v>
      </c>
      <c r="J12" s="11">
        <v>0</v>
      </c>
    </row>
    <row r="13" spans="1:15" x14ac:dyDescent="0.2">
      <c r="A13" s="1"/>
      <c r="B13" s="1" t="s">
        <v>5</v>
      </c>
      <c r="C13" s="7">
        <v>40000</v>
      </c>
      <c r="D13" s="7">
        <v>40000</v>
      </c>
      <c r="E13" s="7">
        <f t="shared" ref="E13:E19" si="0">(C13+D13)/2</f>
        <v>40000</v>
      </c>
      <c r="F13" s="1"/>
      <c r="G13" s="7">
        <f>75000+35000</f>
        <v>110000</v>
      </c>
      <c r="H13" s="11">
        <f t="shared" ref="H13:H20" si="1">G13-E13</f>
        <v>70000</v>
      </c>
      <c r="J13" s="11">
        <f>60000+8250</f>
        <v>68250</v>
      </c>
    </row>
    <row r="14" spans="1:15" x14ac:dyDescent="0.2">
      <c r="A14" s="1"/>
      <c r="B14" s="1" t="s">
        <v>12</v>
      </c>
      <c r="C14" s="7">
        <v>0</v>
      </c>
      <c r="D14" s="7">
        <v>0</v>
      </c>
      <c r="E14" s="7">
        <f t="shared" si="0"/>
        <v>0</v>
      </c>
      <c r="F14" s="1"/>
      <c r="G14" s="7">
        <v>0</v>
      </c>
      <c r="H14" s="11">
        <f t="shared" si="1"/>
        <v>0</v>
      </c>
      <c r="J14" s="11">
        <v>0</v>
      </c>
    </row>
    <row r="15" spans="1:15" x14ac:dyDescent="0.2">
      <c r="A15" s="1"/>
      <c r="B15" s="1" t="s">
        <v>1</v>
      </c>
      <c r="C15" s="7">
        <v>0</v>
      </c>
      <c r="D15" s="7">
        <v>0</v>
      </c>
      <c r="E15" s="7">
        <f t="shared" si="0"/>
        <v>0</v>
      </c>
      <c r="F15" s="1"/>
      <c r="G15" s="7">
        <v>0</v>
      </c>
      <c r="H15" s="11">
        <f t="shared" si="1"/>
        <v>0</v>
      </c>
      <c r="J15" s="11">
        <v>0</v>
      </c>
    </row>
    <row r="16" spans="1:15" x14ac:dyDescent="0.2">
      <c r="A16" s="1"/>
      <c r="B16" s="1" t="s">
        <v>10</v>
      </c>
      <c r="C16" s="7">
        <v>0</v>
      </c>
      <c r="D16" s="7">
        <v>0</v>
      </c>
      <c r="E16" s="7">
        <f t="shared" si="0"/>
        <v>0</v>
      </c>
      <c r="F16" s="1"/>
      <c r="G16" s="7">
        <v>0</v>
      </c>
      <c r="H16" s="11">
        <f t="shared" si="1"/>
        <v>0</v>
      </c>
      <c r="J16" s="11">
        <v>0</v>
      </c>
    </row>
    <row r="17" spans="1:10" x14ac:dyDescent="0.2">
      <c r="A17" s="1"/>
      <c r="B17" s="9" t="s">
        <v>13</v>
      </c>
      <c r="C17" s="7">
        <v>0</v>
      </c>
      <c r="D17" s="7">
        <v>0</v>
      </c>
      <c r="E17" s="7">
        <f t="shared" si="0"/>
        <v>0</v>
      </c>
      <c r="F17" s="1"/>
      <c r="G17" s="7">
        <v>0</v>
      </c>
      <c r="H17" s="11">
        <f t="shared" si="1"/>
        <v>0</v>
      </c>
      <c r="J17" s="11">
        <v>0</v>
      </c>
    </row>
    <row r="18" spans="1:10" x14ac:dyDescent="0.2">
      <c r="A18" s="1"/>
      <c r="B18" s="1" t="s">
        <v>11</v>
      </c>
      <c r="C18" s="7">
        <v>0</v>
      </c>
      <c r="D18" s="7">
        <v>0</v>
      </c>
      <c r="E18" s="7">
        <f t="shared" si="0"/>
        <v>0</v>
      </c>
      <c r="F18" s="1"/>
      <c r="G18" s="7">
        <v>0</v>
      </c>
      <c r="H18" s="11">
        <f t="shared" si="1"/>
        <v>0</v>
      </c>
      <c r="I18" s="2" t="s">
        <v>3</v>
      </c>
      <c r="J18" s="11">
        <v>0</v>
      </c>
    </row>
    <row r="19" spans="1:10" x14ac:dyDescent="0.2">
      <c r="A19" s="1"/>
      <c r="B19" s="1" t="s">
        <v>2</v>
      </c>
      <c r="C19" s="7">
        <v>0</v>
      </c>
      <c r="D19" s="7">
        <v>0</v>
      </c>
      <c r="E19" s="7">
        <f t="shared" si="0"/>
        <v>0</v>
      </c>
      <c r="F19" s="1"/>
      <c r="G19" s="7">
        <v>0</v>
      </c>
      <c r="H19" s="11">
        <f t="shared" si="1"/>
        <v>0</v>
      </c>
      <c r="J19" s="11">
        <v>0</v>
      </c>
    </row>
    <row r="20" spans="1:10" x14ac:dyDescent="0.2">
      <c r="A20" s="1"/>
      <c r="B20" s="1" t="s">
        <v>0</v>
      </c>
      <c r="C20" s="7">
        <f>SUM(C11:C19)</f>
        <v>40000</v>
      </c>
      <c r="D20" s="7">
        <f>SUM(D11:D19)</f>
        <v>40000</v>
      </c>
      <c r="E20" s="7">
        <f>SUM(E11:E19)</f>
        <v>40000</v>
      </c>
      <c r="F20" s="1"/>
      <c r="G20" s="7">
        <f>SUM(G11:G19)</f>
        <v>110000</v>
      </c>
      <c r="H20" s="11">
        <f t="shared" si="1"/>
        <v>70000</v>
      </c>
      <c r="J20" s="11">
        <f>SUM(J12:J19)</f>
        <v>68250</v>
      </c>
    </row>
  </sheetData>
  <pageMargins left="0.7" right="0.7" top="0.75" bottom="0.75" header="0.3" footer="0.3"/>
  <pageSetup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3F853-E257-420C-820D-724D006B71BB}">
  <sheetPr>
    <tabColor rgb="FF00B050"/>
    <pageSetUpPr fitToPage="1"/>
  </sheetPr>
  <dimension ref="A1:O20"/>
  <sheetViews>
    <sheetView zoomScale="90" zoomScaleNormal="90" workbookViewId="0">
      <selection activeCell="G12" sqref="G12"/>
    </sheetView>
  </sheetViews>
  <sheetFormatPr defaultRowHeight="12.75" x14ac:dyDescent="0.2"/>
  <cols>
    <col min="1" max="1" width="17.28515625" customWidth="1"/>
    <col min="2" max="2" width="19.28515625" bestFit="1" customWidth="1"/>
    <col min="3" max="3" width="19.140625" customWidth="1"/>
    <col min="4" max="5" width="13.28515625" bestFit="1" customWidth="1"/>
    <col min="6" max="6" width="5.7109375" customWidth="1"/>
    <col min="7" max="15" width="14.7109375" customWidth="1"/>
  </cols>
  <sheetData>
    <row r="1" spans="1:15" x14ac:dyDescent="0.2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" customHeight="1" x14ac:dyDescent="0.2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customHeight="1" x14ac:dyDescent="0.2">
      <c r="A4" s="1"/>
      <c r="B4" s="1"/>
      <c r="C4" s="1"/>
      <c r="D4" s="1"/>
      <c r="E4" s="1"/>
      <c r="F4" s="1"/>
      <c r="G4" s="1"/>
      <c r="H4" s="1"/>
    </row>
    <row r="5" spans="1:15" x14ac:dyDescent="0.2">
      <c r="A5" s="5" t="s">
        <v>26</v>
      </c>
      <c r="B5" s="1"/>
      <c r="C5" s="1"/>
      <c r="D5" s="1"/>
      <c r="E5" s="1"/>
      <c r="F5" s="1"/>
      <c r="G5" s="1"/>
      <c r="H5" s="1"/>
    </row>
    <row r="6" spans="1:15" x14ac:dyDescent="0.2">
      <c r="A6" s="1"/>
      <c r="B6" s="1"/>
      <c r="C6" s="1"/>
      <c r="D6" s="1"/>
      <c r="E6" s="1"/>
      <c r="F6" s="1"/>
      <c r="G6" s="1"/>
      <c r="H6" s="1"/>
    </row>
    <row r="7" spans="1:15" x14ac:dyDescent="0.2">
      <c r="A7" s="5" t="s">
        <v>16</v>
      </c>
      <c r="B7" s="1"/>
      <c r="C7" s="1"/>
      <c r="D7" s="1"/>
      <c r="E7" s="1"/>
      <c r="F7" s="1"/>
      <c r="G7" s="31" t="s">
        <v>54</v>
      </c>
      <c r="H7" s="1"/>
      <c r="K7" t="s">
        <v>69</v>
      </c>
    </row>
    <row r="8" spans="1:15" x14ac:dyDescent="0.2">
      <c r="A8" s="5"/>
      <c r="B8" s="1" t="s">
        <v>7</v>
      </c>
      <c r="C8" s="8"/>
      <c r="D8" s="1"/>
      <c r="E8" s="1"/>
      <c r="F8" s="1"/>
      <c r="G8" s="12">
        <v>44743</v>
      </c>
      <c r="H8" s="1"/>
      <c r="K8" s="32">
        <v>44013</v>
      </c>
    </row>
    <row r="9" spans="1:15" x14ac:dyDescent="0.2">
      <c r="A9" s="5"/>
      <c r="B9" s="1" t="s">
        <v>6</v>
      </c>
      <c r="C9" s="10">
        <v>2018</v>
      </c>
      <c r="D9" s="1">
        <v>2019</v>
      </c>
      <c r="E9" s="1" t="s">
        <v>18</v>
      </c>
      <c r="F9" s="1"/>
      <c r="G9" s="12">
        <v>45107</v>
      </c>
      <c r="H9" s="1" t="s">
        <v>19</v>
      </c>
      <c r="K9" s="32">
        <v>44377</v>
      </c>
    </row>
    <row r="10" spans="1:15" x14ac:dyDescent="0.2">
      <c r="A10" s="1"/>
      <c r="B10" s="1"/>
      <c r="C10" s="1"/>
      <c r="D10" s="1"/>
      <c r="E10" s="1"/>
      <c r="F10" s="1"/>
      <c r="G10" s="1"/>
      <c r="H10" s="1"/>
    </row>
    <row r="11" spans="1:15" x14ac:dyDescent="0.2">
      <c r="A11" s="5" t="s">
        <v>17</v>
      </c>
      <c r="B11" s="1"/>
      <c r="C11" s="1"/>
      <c r="D11" s="1"/>
      <c r="E11" s="1"/>
      <c r="F11" s="1"/>
      <c r="G11" s="1"/>
      <c r="H11" s="1"/>
    </row>
    <row r="12" spans="1:15" x14ac:dyDescent="0.2">
      <c r="A12" s="1"/>
      <c r="B12" s="1" t="s">
        <v>9</v>
      </c>
      <c r="C12" s="7">
        <v>390231</v>
      </c>
      <c r="D12" s="7">
        <v>405092</v>
      </c>
      <c r="E12" s="7">
        <f>(C12+D12)/2</f>
        <v>397661.5</v>
      </c>
      <c r="F12" s="1"/>
      <c r="G12" s="7">
        <f>379819+185061</f>
        <v>564880</v>
      </c>
      <c r="H12" s="11">
        <f>G12-E12</f>
        <v>167218.5</v>
      </c>
      <c r="K12" s="11">
        <f>288424.96+170639.39</f>
        <v>459064.35000000003</v>
      </c>
    </row>
    <row r="13" spans="1:15" x14ac:dyDescent="0.2">
      <c r="A13" s="1"/>
      <c r="B13" s="1" t="s">
        <v>5</v>
      </c>
      <c r="C13" s="7">
        <v>98530</v>
      </c>
      <c r="D13" s="7">
        <v>54837</v>
      </c>
      <c r="E13" s="7">
        <f t="shared" ref="E13:E19" si="0">(C13+D13)/2</f>
        <v>76683.5</v>
      </c>
      <c r="F13" s="1"/>
      <c r="G13" s="7">
        <v>0</v>
      </c>
      <c r="H13" s="11">
        <f t="shared" ref="H13:H20" si="1">G13-E13</f>
        <v>-76683.5</v>
      </c>
      <c r="K13" s="11">
        <v>0</v>
      </c>
    </row>
    <row r="14" spans="1:15" x14ac:dyDescent="0.2">
      <c r="A14" s="1"/>
      <c r="B14" s="1" t="s">
        <v>12</v>
      </c>
      <c r="C14" s="7">
        <v>0</v>
      </c>
      <c r="D14" s="7">
        <v>0</v>
      </c>
      <c r="E14" s="7">
        <f t="shared" si="0"/>
        <v>0</v>
      </c>
      <c r="F14" s="1"/>
      <c r="G14" s="7">
        <v>57500</v>
      </c>
      <c r="H14" s="11">
        <f t="shared" si="1"/>
        <v>57500</v>
      </c>
      <c r="K14" s="11">
        <v>25885.21</v>
      </c>
    </row>
    <row r="15" spans="1:15" x14ac:dyDescent="0.2">
      <c r="A15" s="1"/>
      <c r="B15" s="1" t="s">
        <v>1</v>
      </c>
      <c r="C15" s="7">
        <v>0</v>
      </c>
      <c r="D15" s="7">
        <v>0</v>
      </c>
      <c r="E15" s="7">
        <f t="shared" si="0"/>
        <v>0</v>
      </c>
      <c r="F15" s="1"/>
      <c r="G15" s="7">
        <v>0</v>
      </c>
      <c r="H15" s="11">
        <f t="shared" si="1"/>
        <v>0</v>
      </c>
      <c r="K15" s="11">
        <v>0</v>
      </c>
    </row>
    <row r="16" spans="1:15" x14ac:dyDescent="0.2">
      <c r="A16" s="1"/>
      <c r="B16" s="1" t="s">
        <v>10</v>
      </c>
      <c r="C16" s="7">
        <v>0</v>
      </c>
      <c r="D16" s="7">
        <v>0</v>
      </c>
      <c r="E16" s="7">
        <f t="shared" si="0"/>
        <v>0</v>
      </c>
      <c r="F16" s="1"/>
      <c r="G16" s="7">
        <v>4000</v>
      </c>
      <c r="H16" s="11">
        <f t="shared" si="1"/>
        <v>4000</v>
      </c>
      <c r="K16" s="11">
        <f>2067.32+56</f>
        <v>2123.3200000000002</v>
      </c>
    </row>
    <row r="17" spans="1:11" x14ac:dyDescent="0.2">
      <c r="A17" s="1"/>
      <c r="B17" s="9" t="s">
        <v>13</v>
      </c>
      <c r="C17" s="7">
        <v>0</v>
      </c>
      <c r="D17" s="7">
        <v>0</v>
      </c>
      <c r="E17" s="7">
        <f t="shared" si="0"/>
        <v>0</v>
      </c>
      <c r="F17" s="1"/>
      <c r="G17" s="7">
        <v>0</v>
      </c>
      <c r="H17" s="11">
        <f t="shared" si="1"/>
        <v>0</v>
      </c>
      <c r="I17" s="7">
        <v>680000</v>
      </c>
      <c r="K17" s="11">
        <v>0</v>
      </c>
    </row>
    <row r="18" spans="1:11" x14ac:dyDescent="0.2">
      <c r="A18" s="1"/>
      <c r="B18" s="1" t="s">
        <v>11</v>
      </c>
      <c r="C18" s="7">
        <v>0</v>
      </c>
      <c r="D18" s="7">
        <v>0</v>
      </c>
      <c r="E18" s="7">
        <f t="shared" si="0"/>
        <v>0</v>
      </c>
      <c r="F18" s="1"/>
      <c r="G18" s="7">
        <v>25750</v>
      </c>
      <c r="H18" s="11">
        <f t="shared" si="1"/>
        <v>25750</v>
      </c>
      <c r="I18" s="2" t="s">
        <v>3</v>
      </c>
      <c r="K18" s="11">
        <v>8870.15</v>
      </c>
    </row>
    <row r="19" spans="1:11" x14ac:dyDescent="0.2">
      <c r="A19" s="1"/>
      <c r="B19" s="1" t="s">
        <v>2</v>
      </c>
      <c r="C19" s="7">
        <v>0</v>
      </c>
      <c r="D19" s="7">
        <v>0</v>
      </c>
      <c r="E19" s="7">
        <f t="shared" si="0"/>
        <v>0</v>
      </c>
      <c r="F19" s="1"/>
      <c r="G19" s="7">
        <v>0</v>
      </c>
      <c r="H19" s="11">
        <f t="shared" si="1"/>
        <v>0</v>
      </c>
      <c r="K19" s="11">
        <v>0</v>
      </c>
    </row>
    <row r="20" spans="1:11" x14ac:dyDescent="0.2">
      <c r="A20" s="1"/>
      <c r="B20" s="1" t="s">
        <v>0</v>
      </c>
      <c r="C20" s="7">
        <f>SUM(C11:C19)</f>
        <v>488761</v>
      </c>
      <c r="D20" s="7">
        <f>SUM(D11:D19)</f>
        <v>459929</v>
      </c>
      <c r="E20" s="7">
        <f>SUM(E11:E19)</f>
        <v>474345</v>
      </c>
      <c r="F20" s="1"/>
      <c r="G20" s="7">
        <f>SUM(G11:G19)</f>
        <v>652130</v>
      </c>
      <c r="H20" s="11">
        <f t="shared" si="1"/>
        <v>177785</v>
      </c>
      <c r="K20" s="11">
        <f>SUM(K12:K19)</f>
        <v>495943.03000000009</v>
      </c>
    </row>
  </sheetData>
  <pageMargins left="0.7" right="0.7" top="0.75" bottom="0.75" header="0.3" footer="0.3"/>
  <pageSetup scale="9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E4262-6AD8-4398-BA79-F9948A498ED9}">
  <sheetPr>
    <tabColor rgb="FF00B050"/>
    <pageSetUpPr fitToPage="1"/>
  </sheetPr>
  <dimension ref="A1:O20"/>
  <sheetViews>
    <sheetView zoomScale="90" zoomScaleNormal="90" workbookViewId="0">
      <selection activeCell="K36" sqref="K36"/>
    </sheetView>
  </sheetViews>
  <sheetFormatPr defaultRowHeight="12.75" x14ac:dyDescent="0.2"/>
  <cols>
    <col min="1" max="1" width="17.28515625" customWidth="1"/>
    <col min="2" max="2" width="19.28515625" bestFit="1" customWidth="1"/>
    <col min="3" max="3" width="19.140625" customWidth="1"/>
    <col min="4" max="4" width="13.28515625" bestFit="1" customWidth="1"/>
    <col min="5" max="5" width="12.42578125" bestFit="1" customWidth="1"/>
    <col min="6" max="6" width="5.7109375" customWidth="1"/>
    <col min="7" max="15" width="14.7109375" customWidth="1"/>
  </cols>
  <sheetData>
    <row r="1" spans="1:15" x14ac:dyDescent="0.2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" customHeight="1" x14ac:dyDescent="0.2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customHeight="1" x14ac:dyDescent="0.2">
      <c r="A4" s="1"/>
      <c r="B4" s="1"/>
      <c r="C4" s="1"/>
      <c r="D4" s="1"/>
      <c r="E4" s="1"/>
      <c r="F4" s="1"/>
      <c r="G4" s="1"/>
      <c r="H4" s="1"/>
    </row>
    <row r="5" spans="1:15" x14ac:dyDescent="0.2">
      <c r="A5" s="5" t="s">
        <v>27</v>
      </c>
      <c r="B5" s="1"/>
      <c r="C5" s="1"/>
      <c r="D5" s="1"/>
      <c r="E5" s="1"/>
      <c r="F5" s="1"/>
      <c r="G5" s="1"/>
      <c r="H5" s="1"/>
    </row>
    <row r="6" spans="1:15" x14ac:dyDescent="0.2">
      <c r="A6" s="1"/>
      <c r="B6" s="1"/>
      <c r="C6" s="1"/>
      <c r="D6" s="1"/>
      <c r="E6" s="1"/>
      <c r="F6" s="1"/>
      <c r="G6" s="1"/>
      <c r="H6" s="1"/>
    </row>
    <row r="7" spans="1:15" x14ac:dyDescent="0.2">
      <c r="A7" s="5" t="s">
        <v>16</v>
      </c>
      <c r="B7" s="1"/>
      <c r="C7" s="1"/>
      <c r="D7" s="1"/>
      <c r="E7" s="1"/>
      <c r="F7" s="1"/>
      <c r="G7" s="31" t="s">
        <v>54</v>
      </c>
      <c r="H7" s="1"/>
      <c r="J7" t="s">
        <v>69</v>
      </c>
    </row>
    <row r="8" spans="1:15" x14ac:dyDescent="0.2">
      <c r="A8" s="5"/>
      <c r="B8" s="1" t="s">
        <v>7</v>
      </c>
      <c r="C8" s="8"/>
      <c r="D8" s="1"/>
      <c r="E8" s="1"/>
      <c r="F8" s="1"/>
      <c r="G8" s="12">
        <v>44743</v>
      </c>
      <c r="H8" s="1"/>
      <c r="J8" s="32">
        <v>44013</v>
      </c>
    </row>
    <row r="9" spans="1:15" x14ac:dyDescent="0.2">
      <c r="A9" s="5"/>
      <c r="B9" s="1" t="s">
        <v>6</v>
      </c>
      <c r="C9" s="10">
        <v>2018</v>
      </c>
      <c r="D9" s="1">
        <v>2019</v>
      </c>
      <c r="E9" s="1" t="s">
        <v>18</v>
      </c>
      <c r="F9" s="1"/>
      <c r="G9" s="12">
        <v>45107</v>
      </c>
      <c r="H9" s="1" t="s">
        <v>19</v>
      </c>
      <c r="J9" s="32">
        <v>44377</v>
      </c>
    </row>
    <row r="10" spans="1:15" x14ac:dyDescent="0.2">
      <c r="A10" s="1"/>
      <c r="B10" s="1"/>
      <c r="C10" s="1"/>
      <c r="D10" s="1"/>
      <c r="E10" s="1"/>
      <c r="F10" s="1"/>
      <c r="G10" s="1"/>
      <c r="H10" s="1"/>
    </row>
    <row r="11" spans="1:15" x14ac:dyDescent="0.2">
      <c r="A11" s="5" t="s">
        <v>17</v>
      </c>
      <c r="B11" s="1"/>
      <c r="C11" s="1"/>
      <c r="D11" s="1"/>
      <c r="E11" s="1"/>
      <c r="F11" s="1"/>
      <c r="G11" s="1"/>
      <c r="H11" s="1"/>
    </row>
    <row r="12" spans="1:15" x14ac:dyDescent="0.2">
      <c r="A12" s="1"/>
      <c r="B12" s="1" t="s">
        <v>9</v>
      </c>
      <c r="C12" s="7">
        <v>92470.76</v>
      </c>
      <c r="D12" s="7">
        <v>106693.16</v>
      </c>
      <c r="E12" s="7">
        <f>(C12+D12)/2</f>
        <v>99581.959999999992</v>
      </c>
      <c r="F12" s="1"/>
      <c r="G12" s="7">
        <f>20000+5000+5000</f>
        <v>30000</v>
      </c>
      <c r="H12" s="11">
        <f>G12-E12</f>
        <v>-69581.959999999992</v>
      </c>
      <c r="J12" s="11">
        <v>9074.25</v>
      </c>
    </row>
    <row r="13" spans="1:15" x14ac:dyDescent="0.2">
      <c r="A13" s="1"/>
      <c r="B13" s="1" t="s">
        <v>5</v>
      </c>
      <c r="C13" s="7">
        <v>0</v>
      </c>
      <c r="D13" s="7">
        <v>0</v>
      </c>
      <c r="E13" s="7">
        <f t="shared" ref="E13:E19" si="0">(C13+D13)/2</f>
        <v>0</v>
      </c>
      <c r="F13" s="1"/>
      <c r="G13" s="7">
        <v>135000</v>
      </c>
      <c r="H13" s="11">
        <f t="shared" ref="H13:H20" si="1">G13-E13</f>
        <v>135000</v>
      </c>
      <c r="J13" s="11">
        <v>125000</v>
      </c>
    </row>
    <row r="14" spans="1:15" x14ac:dyDescent="0.2">
      <c r="A14" s="1"/>
      <c r="B14" s="1" t="s">
        <v>12</v>
      </c>
      <c r="C14" s="7">
        <v>0</v>
      </c>
      <c r="D14" s="7">
        <v>0</v>
      </c>
      <c r="E14" s="7">
        <f t="shared" si="0"/>
        <v>0</v>
      </c>
      <c r="F14" s="1"/>
      <c r="G14" s="7">
        <f>20000+15000</f>
        <v>35000</v>
      </c>
      <c r="H14" s="11">
        <f t="shared" si="1"/>
        <v>35000</v>
      </c>
      <c r="J14" s="11">
        <v>0</v>
      </c>
    </row>
    <row r="15" spans="1:15" x14ac:dyDescent="0.2">
      <c r="A15" s="1"/>
      <c r="B15" s="1" t="s">
        <v>1</v>
      </c>
      <c r="C15" s="7">
        <v>0</v>
      </c>
      <c r="D15" s="7">
        <v>0</v>
      </c>
      <c r="E15" s="7">
        <f t="shared" si="0"/>
        <v>0</v>
      </c>
      <c r="F15" s="1"/>
      <c r="G15" s="7">
        <v>0</v>
      </c>
      <c r="H15" s="11">
        <f t="shared" si="1"/>
        <v>0</v>
      </c>
      <c r="J15" s="11">
        <v>0</v>
      </c>
    </row>
    <row r="16" spans="1:15" x14ac:dyDescent="0.2">
      <c r="A16" s="1"/>
      <c r="B16" s="1" t="s">
        <v>10</v>
      </c>
      <c r="C16" s="7">
        <v>0</v>
      </c>
      <c r="D16" s="7">
        <v>0</v>
      </c>
      <c r="E16" s="7">
        <f t="shared" si="0"/>
        <v>0</v>
      </c>
      <c r="F16" s="1"/>
      <c r="G16" s="7">
        <v>1000</v>
      </c>
      <c r="H16" s="11">
        <f t="shared" si="1"/>
        <v>1000</v>
      </c>
      <c r="J16" s="11">
        <v>0</v>
      </c>
    </row>
    <row r="17" spans="1:10" x14ac:dyDescent="0.2">
      <c r="A17" s="1"/>
      <c r="B17" s="9" t="s">
        <v>13</v>
      </c>
      <c r="C17" s="7">
        <v>0</v>
      </c>
      <c r="D17" s="7">
        <v>0</v>
      </c>
      <c r="E17" s="7">
        <f t="shared" si="0"/>
        <v>0</v>
      </c>
      <c r="F17" s="1"/>
      <c r="G17" s="7">
        <v>0</v>
      </c>
      <c r="H17" s="11">
        <f t="shared" si="1"/>
        <v>0</v>
      </c>
      <c r="J17" s="11">
        <v>0</v>
      </c>
    </row>
    <row r="18" spans="1:10" x14ac:dyDescent="0.2">
      <c r="A18" s="1"/>
      <c r="B18" s="1" t="s">
        <v>11</v>
      </c>
      <c r="C18" s="7">
        <v>0</v>
      </c>
      <c r="D18" s="7">
        <v>0</v>
      </c>
      <c r="E18" s="7">
        <f t="shared" si="0"/>
        <v>0</v>
      </c>
      <c r="F18" s="1"/>
      <c r="G18" s="7">
        <v>3100</v>
      </c>
      <c r="H18" s="11">
        <f t="shared" si="1"/>
        <v>3100</v>
      </c>
      <c r="I18" s="2" t="s">
        <v>3</v>
      </c>
      <c r="J18" s="11">
        <v>0</v>
      </c>
    </row>
    <row r="19" spans="1:10" x14ac:dyDescent="0.2">
      <c r="A19" s="1"/>
      <c r="B19" s="1" t="s">
        <v>2</v>
      </c>
      <c r="C19" s="7">
        <v>0</v>
      </c>
      <c r="D19" s="7">
        <v>0</v>
      </c>
      <c r="E19" s="7">
        <f t="shared" si="0"/>
        <v>0</v>
      </c>
      <c r="F19" s="1"/>
      <c r="G19" s="7">
        <v>12999</v>
      </c>
      <c r="H19" s="11">
        <f t="shared" si="1"/>
        <v>12999</v>
      </c>
      <c r="J19" s="11">
        <v>0</v>
      </c>
    </row>
    <row r="20" spans="1:10" x14ac:dyDescent="0.2">
      <c r="A20" s="1"/>
      <c r="B20" s="1" t="s">
        <v>0</v>
      </c>
      <c r="C20" s="7">
        <f>SUM(C11:C19)</f>
        <v>92470.76</v>
      </c>
      <c r="D20" s="7">
        <f>SUM(D11:D19)</f>
        <v>106693.16</v>
      </c>
      <c r="E20" s="7">
        <f>SUM(E11:E19)</f>
        <v>99581.959999999992</v>
      </c>
      <c r="F20" s="1"/>
      <c r="G20" s="7">
        <f>SUM(G11:G19)</f>
        <v>217099</v>
      </c>
      <c r="H20" s="11">
        <f t="shared" si="1"/>
        <v>117517.04000000001</v>
      </c>
      <c r="J20" s="11">
        <f>SUM(J12:J19)</f>
        <v>134074.25</v>
      </c>
    </row>
  </sheetData>
  <pageMargins left="0.7" right="0.7" top="0.75" bottom="0.75" header="0.3" footer="0.3"/>
  <pageSetup scale="9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B1169-C002-40D8-8DA9-EE908FCD0675}">
  <sheetPr>
    <tabColor rgb="FF92D050"/>
    <pageSetUpPr fitToPage="1"/>
  </sheetPr>
  <dimension ref="A1:O20"/>
  <sheetViews>
    <sheetView zoomScale="90" zoomScaleNormal="90" workbookViewId="0">
      <selection activeCell="G20" sqref="G20"/>
    </sheetView>
  </sheetViews>
  <sheetFormatPr defaultRowHeight="12.75" x14ac:dyDescent="0.2"/>
  <cols>
    <col min="1" max="1" width="17.28515625" customWidth="1"/>
    <col min="2" max="2" width="19.28515625" bestFit="1" customWidth="1"/>
    <col min="3" max="3" width="19.140625" customWidth="1"/>
    <col min="4" max="4" width="18.28515625" customWidth="1"/>
    <col min="5" max="5" width="13.28515625" bestFit="1" customWidth="1"/>
    <col min="6" max="6" width="5.7109375" customWidth="1"/>
    <col min="7" max="15" width="14.7109375" customWidth="1"/>
  </cols>
  <sheetData>
    <row r="1" spans="1:15" x14ac:dyDescent="0.2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" customHeight="1" x14ac:dyDescent="0.2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customHeight="1" x14ac:dyDescent="0.2">
      <c r="A4" s="1"/>
      <c r="B4" s="1"/>
      <c r="C4" s="1"/>
      <c r="D4" s="1"/>
      <c r="E4" s="1"/>
      <c r="F4" s="1"/>
      <c r="G4" s="1"/>
      <c r="H4" s="1"/>
    </row>
    <row r="5" spans="1:15" x14ac:dyDescent="0.2">
      <c r="A5" s="5" t="s">
        <v>28</v>
      </c>
      <c r="B5" s="1"/>
      <c r="C5" s="1"/>
      <c r="D5" s="1"/>
      <c r="E5" s="1"/>
      <c r="F5" s="1"/>
      <c r="G5" s="1"/>
      <c r="H5" s="1"/>
    </row>
    <row r="6" spans="1:15" x14ac:dyDescent="0.2">
      <c r="A6" s="1"/>
      <c r="B6" s="1"/>
      <c r="C6" s="1"/>
      <c r="D6" s="1"/>
      <c r="E6" s="1"/>
      <c r="F6" s="1"/>
      <c r="G6" s="1"/>
      <c r="H6" s="1"/>
    </row>
    <row r="7" spans="1:15" x14ac:dyDescent="0.2">
      <c r="A7" s="5" t="s">
        <v>16</v>
      </c>
      <c r="B7" s="1"/>
      <c r="C7" s="1"/>
      <c r="D7" s="1"/>
      <c r="E7" s="1"/>
      <c r="F7" s="1"/>
      <c r="G7" s="1" t="s">
        <v>54</v>
      </c>
      <c r="H7" s="1"/>
      <c r="J7" t="s">
        <v>69</v>
      </c>
    </row>
    <row r="8" spans="1:15" x14ac:dyDescent="0.2">
      <c r="A8" s="5"/>
      <c r="B8" s="1" t="s">
        <v>7</v>
      </c>
      <c r="C8" s="8"/>
      <c r="D8" s="1"/>
      <c r="E8" s="1"/>
      <c r="F8" s="1"/>
      <c r="G8" s="12">
        <v>44743</v>
      </c>
      <c r="H8" s="1"/>
      <c r="J8" s="32">
        <v>44013</v>
      </c>
    </row>
    <row r="9" spans="1:15" x14ac:dyDescent="0.2">
      <c r="A9" s="5"/>
      <c r="B9" s="1" t="s">
        <v>6</v>
      </c>
      <c r="C9" s="10">
        <v>2018</v>
      </c>
      <c r="D9" s="1">
        <v>2019</v>
      </c>
      <c r="E9" s="1" t="s">
        <v>18</v>
      </c>
      <c r="F9" s="1"/>
      <c r="G9" s="12">
        <v>45107</v>
      </c>
      <c r="H9" s="1" t="s">
        <v>19</v>
      </c>
      <c r="J9" s="32">
        <v>44377</v>
      </c>
    </row>
    <row r="10" spans="1:15" x14ac:dyDescent="0.2">
      <c r="A10" s="1"/>
      <c r="B10" s="1"/>
      <c r="C10" s="1"/>
      <c r="D10" s="1"/>
      <c r="E10" s="1"/>
      <c r="F10" s="1"/>
      <c r="G10" s="1"/>
      <c r="H10" s="1"/>
    </row>
    <row r="11" spans="1:15" x14ac:dyDescent="0.2">
      <c r="A11" s="5" t="s">
        <v>17</v>
      </c>
      <c r="B11" s="1"/>
      <c r="C11" s="1"/>
      <c r="D11" s="1"/>
      <c r="E11" s="1"/>
      <c r="F11" s="1"/>
      <c r="G11" s="1"/>
      <c r="H11" s="1"/>
    </row>
    <row r="12" spans="1:15" x14ac:dyDescent="0.2">
      <c r="A12" s="1"/>
      <c r="B12" s="1" t="s">
        <v>9</v>
      </c>
      <c r="C12" s="7">
        <v>0</v>
      </c>
      <c r="D12" s="7">
        <v>0</v>
      </c>
      <c r="E12" s="7">
        <f>(C12+D12)/2</f>
        <v>0</v>
      </c>
      <c r="F12" s="1"/>
      <c r="G12" s="7">
        <v>0</v>
      </c>
      <c r="H12" s="11">
        <f>G12-E12</f>
        <v>0</v>
      </c>
      <c r="J12" s="11"/>
    </row>
    <row r="13" spans="1:15" x14ac:dyDescent="0.2">
      <c r="A13" s="1"/>
      <c r="B13" s="1" t="s">
        <v>5</v>
      </c>
      <c r="C13" s="7">
        <v>125000</v>
      </c>
      <c r="D13" s="7">
        <v>125000</v>
      </c>
      <c r="E13" s="7">
        <f t="shared" ref="E13:E19" si="0">(C13+D13)/2</f>
        <v>125000</v>
      </c>
      <c r="F13" s="1"/>
      <c r="G13" s="7">
        <v>145000</v>
      </c>
      <c r="H13" s="11">
        <f t="shared" ref="H13:H20" si="1">G13-E13</f>
        <v>20000</v>
      </c>
      <c r="J13" s="11"/>
    </row>
    <row r="14" spans="1:15" x14ac:dyDescent="0.2">
      <c r="A14" s="1"/>
      <c r="B14" s="1" t="s">
        <v>12</v>
      </c>
      <c r="C14" s="7">
        <v>0</v>
      </c>
      <c r="D14" s="7">
        <v>0</v>
      </c>
      <c r="E14" s="7">
        <f t="shared" si="0"/>
        <v>0</v>
      </c>
      <c r="F14" s="1"/>
      <c r="G14" s="7">
        <v>60000</v>
      </c>
      <c r="H14" s="11">
        <f t="shared" si="1"/>
        <v>60000</v>
      </c>
      <c r="J14" s="11"/>
    </row>
    <row r="15" spans="1:15" x14ac:dyDescent="0.2">
      <c r="A15" s="1"/>
      <c r="B15" s="1" t="s">
        <v>1</v>
      </c>
      <c r="C15" s="7">
        <v>0</v>
      </c>
      <c r="D15" s="7">
        <v>0</v>
      </c>
      <c r="E15" s="7">
        <f t="shared" si="0"/>
        <v>0</v>
      </c>
      <c r="F15" s="1"/>
      <c r="G15" s="7">
        <v>0</v>
      </c>
      <c r="H15" s="11">
        <f t="shared" si="1"/>
        <v>0</v>
      </c>
      <c r="J15" s="11"/>
    </row>
    <row r="16" spans="1:15" x14ac:dyDescent="0.2">
      <c r="A16" s="1"/>
      <c r="B16" s="1" t="s">
        <v>10</v>
      </c>
      <c r="C16" s="7">
        <v>0</v>
      </c>
      <c r="D16" s="7">
        <v>0</v>
      </c>
      <c r="E16" s="7">
        <f t="shared" si="0"/>
        <v>0</v>
      </c>
      <c r="F16" s="1"/>
      <c r="G16" s="7">
        <v>0</v>
      </c>
      <c r="H16" s="11">
        <f t="shared" si="1"/>
        <v>0</v>
      </c>
      <c r="J16" s="11"/>
    </row>
    <row r="17" spans="1:10" x14ac:dyDescent="0.2">
      <c r="A17" s="1"/>
      <c r="B17" s="9" t="s">
        <v>13</v>
      </c>
      <c r="C17" s="7">
        <v>0</v>
      </c>
      <c r="D17" s="7">
        <v>0</v>
      </c>
      <c r="E17" s="7">
        <f t="shared" si="0"/>
        <v>0</v>
      </c>
      <c r="F17" s="1"/>
      <c r="G17" s="7">
        <v>0</v>
      </c>
      <c r="H17" s="11">
        <f t="shared" si="1"/>
        <v>0</v>
      </c>
      <c r="J17" s="11"/>
    </row>
    <row r="18" spans="1:10" x14ac:dyDescent="0.2">
      <c r="A18" s="1"/>
      <c r="B18" s="1" t="s">
        <v>11</v>
      </c>
      <c r="C18" s="7">
        <v>0</v>
      </c>
      <c r="D18" s="7">
        <v>0</v>
      </c>
      <c r="E18" s="7">
        <f t="shared" si="0"/>
        <v>0</v>
      </c>
      <c r="F18" s="1"/>
      <c r="G18" s="7">
        <v>0</v>
      </c>
      <c r="H18" s="11">
        <f t="shared" si="1"/>
        <v>0</v>
      </c>
      <c r="I18" s="2" t="s">
        <v>3</v>
      </c>
      <c r="J18" s="11"/>
    </row>
    <row r="19" spans="1:10" x14ac:dyDescent="0.2">
      <c r="A19" s="1"/>
      <c r="B19" s="1" t="s">
        <v>2</v>
      </c>
      <c r="C19" s="7">
        <v>54420</v>
      </c>
      <c r="D19" s="7">
        <f>41750+12670</f>
        <v>54420</v>
      </c>
      <c r="E19" s="7">
        <f t="shared" si="0"/>
        <v>54420</v>
      </c>
      <c r="F19" s="1"/>
      <c r="G19" s="7">
        <v>0</v>
      </c>
      <c r="H19" s="11">
        <f t="shared" si="1"/>
        <v>-54420</v>
      </c>
      <c r="J19" s="11"/>
    </row>
    <row r="20" spans="1:10" x14ac:dyDescent="0.2">
      <c r="A20" s="1"/>
      <c r="B20" s="1" t="s">
        <v>0</v>
      </c>
      <c r="C20" s="7">
        <f>SUM(C11:C19)</f>
        <v>179420</v>
      </c>
      <c r="D20" s="7">
        <f>SUM(D11:D19)</f>
        <v>179420</v>
      </c>
      <c r="E20" s="7">
        <f>SUM(E11:E19)</f>
        <v>179420</v>
      </c>
      <c r="F20" s="1"/>
      <c r="G20" s="7">
        <f>SUM(G11:G19)</f>
        <v>205000</v>
      </c>
      <c r="H20" s="11">
        <f t="shared" si="1"/>
        <v>25580</v>
      </c>
      <c r="J20" s="11"/>
    </row>
  </sheetData>
  <pageMargins left="0.7" right="0.7" top="0.75" bottom="0.75" header="0.3" footer="0.3"/>
  <pageSetup scale="9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1ADB5-A048-4BE5-B7E1-F0BDE62DBA10}">
  <sheetPr>
    <tabColor rgb="FF00B050"/>
    <pageSetUpPr fitToPage="1"/>
  </sheetPr>
  <dimension ref="A1:O20"/>
  <sheetViews>
    <sheetView zoomScale="90" zoomScaleNormal="90" workbookViewId="0">
      <selection activeCell="H34" sqref="H34"/>
    </sheetView>
  </sheetViews>
  <sheetFormatPr defaultRowHeight="12.75" x14ac:dyDescent="0.2"/>
  <cols>
    <col min="1" max="1" width="17.28515625" customWidth="1"/>
    <col min="2" max="2" width="19.28515625" bestFit="1" customWidth="1"/>
    <col min="3" max="3" width="17.28515625" customWidth="1"/>
    <col min="4" max="4" width="14.140625" customWidth="1"/>
    <col min="5" max="5" width="16" customWidth="1"/>
    <col min="6" max="6" width="5.7109375" customWidth="1"/>
    <col min="7" max="7" width="16.140625" customWidth="1"/>
    <col min="8" max="15" width="14.7109375" customWidth="1"/>
  </cols>
  <sheetData>
    <row r="1" spans="1:15" x14ac:dyDescent="0.2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" customHeight="1" x14ac:dyDescent="0.2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customHeight="1" x14ac:dyDescent="0.2">
      <c r="A4" s="1"/>
      <c r="B4" s="1"/>
      <c r="C4" s="1"/>
      <c r="D4" s="1"/>
      <c r="E4" s="1"/>
      <c r="F4" s="1"/>
      <c r="G4" s="1"/>
      <c r="H4" s="1"/>
    </row>
    <row r="5" spans="1:15" x14ac:dyDescent="0.2">
      <c r="A5" s="5" t="s">
        <v>29</v>
      </c>
      <c r="B5" s="1"/>
      <c r="C5" s="1"/>
      <c r="D5" s="1"/>
      <c r="E5" s="1"/>
      <c r="F5" s="1"/>
      <c r="G5" s="1"/>
      <c r="H5" s="1"/>
    </row>
    <row r="6" spans="1:15" x14ac:dyDescent="0.2">
      <c r="A6" s="1"/>
      <c r="B6" s="1"/>
      <c r="C6" s="1"/>
      <c r="D6" s="1"/>
      <c r="E6" s="1"/>
      <c r="F6" s="1"/>
      <c r="G6" s="1"/>
      <c r="H6" s="1"/>
    </row>
    <row r="7" spans="1:15" x14ac:dyDescent="0.2">
      <c r="A7" s="5" t="s">
        <v>16</v>
      </c>
      <c r="B7" s="1"/>
      <c r="C7" s="1"/>
      <c r="D7" s="1"/>
      <c r="E7" s="1"/>
      <c r="F7" s="1"/>
      <c r="G7" s="31" t="s">
        <v>54</v>
      </c>
      <c r="H7" s="1"/>
      <c r="J7" t="s">
        <v>69</v>
      </c>
    </row>
    <row r="8" spans="1:15" x14ac:dyDescent="0.2">
      <c r="A8" s="5"/>
      <c r="B8" s="1" t="s">
        <v>7</v>
      </c>
      <c r="C8" s="8"/>
      <c r="D8" s="1"/>
      <c r="E8" s="1"/>
      <c r="F8" s="1"/>
      <c r="G8" s="12">
        <v>44743</v>
      </c>
      <c r="H8" s="1"/>
      <c r="J8" s="32">
        <v>44013</v>
      </c>
    </row>
    <row r="9" spans="1:15" x14ac:dyDescent="0.2">
      <c r="A9" s="5"/>
      <c r="B9" s="1" t="s">
        <v>6</v>
      </c>
      <c r="C9" s="10">
        <v>2018</v>
      </c>
      <c r="D9" s="1">
        <v>2019</v>
      </c>
      <c r="E9" s="1" t="s">
        <v>18</v>
      </c>
      <c r="F9" s="1"/>
      <c r="G9" s="12">
        <v>45107</v>
      </c>
      <c r="H9" s="1" t="s">
        <v>19</v>
      </c>
      <c r="J9" s="32">
        <v>44377</v>
      </c>
    </row>
    <row r="10" spans="1:15" x14ac:dyDescent="0.2">
      <c r="A10" s="1"/>
      <c r="B10" s="1"/>
      <c r="C10" s="1"/>
      <c r="D10" s="1"/>
      <c r="E10" s="1"/>
      <c r="F10" s="1"/>
      <c r="G10" s="1"/>
      <c r="H10" s="1"/>
    </row>
    <row r="11" spans="1:15" x14ac:dyDescent="0.2">
      <c r="A11" s="5" t="s">
        <v>17</v>
      </c>
      <c r="B11" s="1"/>
      <c r="C11" s="1"/>
      <c r="D11" s="1"/>
      <c r="E11" s="1"/>
      <c r="F11" s="1"/>
      <c r="G11" s="1"/>
      <c r="H11" s="1"/>
    </row>
    <row r="12" spans="1:15" x14ac:dyDescent="0.2">
      <c r="A12" s="1"/>
      <c r="B12" s="1" t="s">
        <v>9</v>
      </c>
      <c r="C12" s="7">
        <v>0</v>
      </c>
      <c r="D12" s="7">
        <v>0</v>
      </c>
      <c r="E12" s="7">
        <f>(C12+D12)/2</f>
        <v>0</v>
      </c>
      <c r="F12" s="1"/>
      <c r="G12" s="7">
        <v>0</v>
      </c>
      <c r="H12" s="11">
        <f>G12-E12</f>
        <v>0</v>
      </c>
      <c r="J12" s="11">
        <v>0</v>
      </c>
    </row>
    <row r="13" spans="1:15" x14ac:dyDescent="0.2">
      <c r="A13" s="1"/>
      <c r="B13" s="1" t="s">
        <v>5</v>
      </c>
      <c r="C13" s="7">
        <v>719711.35</v>
      </c>
      <c r="D13" s="7">
        <v>724923.1</v>
      </c>
      <c r="E13" s="7">
        <f t="shared" ref="E13:E19" si="0">(C13+D13)/2</f>
        <v>722317.22499999998</v>
      </c>
      <c r="F13" s="1"/>
      <c r="G13" s="7">
        <f>1087000+360000</f>
        <v>1447000</v>
      </c>
      <c r="H13" s="11">
        <f t="shared" ref="H13:H20" si="1">G13-E13</f>
        <v>724682.77500000002</v>
      </c>
      <c r="J13" s="11">
        <f>767083.1+2094.25</f>
        <v>769177.35</v>
      </c>
    </row>
    <row r="14" spans="1:15" x14ac:dyDescent="0.2">
      <c r="A14" s="1"/>
      <c r="B14" s="1" t="s">
        <v>12</v>
      </c>
      <c r="C14" s="7">
        <v>89572.21</v>
      </c>
      <c r="D14" s="7">
        <v>103659.5</v>
      </c>
      <c r="E14" s="7">
        <f t="shared" si="0"/>
        <v>96615.85500000001</v>
      </c>
      <c r="F14" s="1"/>
      <c r="G14" s="7">
        <f>190500+30000</f>
        <v>220500</v>
      </c>
      <c r="H14" s="11">
        <f t="shared" si="1"/>
        <v>123884.14499999999</v>
      </c>
      <c r="J14" s="11">
        <v>1465</v>
      </c>
    </row>
    <row r="15" spans="1:15" x14ac:dyDescent="0.2">
      <c r="A15" s="1"/>
      <c r="B15" s="1" t="s">
        <v>1</v>
      </c>
      <c r="C15" s="7">
        <v>0</v>
      </c>
      <c r="D15" s="7">
        <v>0</v>
      </c>
      <c r="E15" s="7">
        <f t="shared" si="0"/>
        <v>0</v>
      </c>
      <c r="F15" s="1"/>
      <c r="G15" s="7">
        <v>0</v>
      </c>
      <c r="H15" s="11">
        <f t="shared" si="1"/>
        <v>0</v>
      </c>
      <c r="J15" s="11">
        <v>0</v>
      </c>
    </row>
    <row r="16" spans="1:15" x14ac:dyDescent="0.2">
      <c r="A16" s="1"/>
      <c r="B16" s="1" t="s">
        <v>10</v>
      </c>
      <c r="C16" s="7">
        <v>0</v>
      </c>
      <c r="D16" s="7">
        <v>0</v>
      </c>
      <c r="E16" s="7">
        <f t="shared" si="0"/>
        <v>0</v>
      </c>
      <c r="F16" s="1"/>
      <c r="G16" s="7">
        <v>0</v>
      </c>
      <c r="H16" s="11">
        <f t="shared" si="1"/>
        <v>0</v>
      </c>
      <c r="J16" s="11">
        <v>0</v>
      </c>
    </row>
    <row r="17" spans="1:10" x14ac:dyDescent="0.2">
      <c r="A17" s="1"/>
      <c r="B17" s="9" t="s">
        <v>13</v>
      </c>
      <c r="C17" s="7">
        <v>0</v>
      </c>
      <c r="D17" s="7">
        <v>0</v>
      </c>
      <c r="E17" s="7">
        <f t="shared" si="0"/>
        <v>0</v>
      </c>
      <c r="F17" s="1"/>
      <c r="G17" s="7">
        <v>0</v>
      </c>
      <c r="H17" s="11">
        <f t="shared" si="1"/>
        <v>0</v>
      </c>
      <c r="J17" s="11">
        <v>0</v>
      </c>
    </row>
    <row r="18" spans="1:10" x14ac:dyDescent="0.2">
      <c r="A18" s="1"/>
      <c r="B18" s="1" t="s">
        <v>11</v>
      </c>
      <c r="C18" s="7">
        <v>0</v>
      </c>
      <c r="D18" s="7">
        <v>0</v>
      </c>
      <c r="E18" s="7">
        <f t="shared" si="0"/>
        <v>0</v>
      </c>
      <c r="F18" s="1"/>
      <c r="G18" s="7">
        <v>0</v>
      </c>
      <c r="H18" s="11">
        <f t="shared" si="1"/>
        <v>0</v>
      </c>
      <c r="I18" s="2" t="s">
        <v>3</v>
      </c>
      <c r="J18" s="11">
        <v>0</v>
      </c>
    </row>
    <row r="19" spans="1:10" x14ac:dyDescent="0.2">
      <c r="A19" s="1"/>
      <c r="B19" s="1" t="s">
        <v>2</v>
      </c>
      <c r="C19" s="7">
        <v>0</v>
      </c>
      <c r="D19" s="7">
        <v>0</v>
      </c>
      <c r="E19" s="7">
        <f t="shared" si="0"/>
        <v>0</v>
      </c>
      <c r="F19" s="1"/>
      <c r="G19" s="7">
        <v>0</v>
      </c>
      <c r="H19" s="11">
        <f t="shared" si="1"/>
        <v>0</v>
      </c>
      <c r="J19" s="11">
        <v>0</v>
      </c>
    </row>
    <row r="20" spans="1:10" x14ac:dyDescent="0.2">
      <c r="A20" s="1"/>
      <c r="B20" s="1" t="s">
        <v>0</v>
      </c>
      <c r="C20" s="7">
        <f>SUM(C11:C19)</f>
        <v>809283.55999999994</v>
      </c>
      <c r="D20" s="7">
        <f>SUM(D11:D19)</f>
        <v>828582.6</v>
      </c>
      <c r="E20" s="7">
        <f>SUM(E11:E19)</f>
        <v>818933.08</v>
      </c>
      <c r="F20" s="1"/>
      <c r="G20" s="7">
        <f>SUM(G11:G19)</f>
        <v>1667500</v>
      </c>
      <c r="H20" s="11">
        <f t="shared" si="1"/>
        <v>848566.92</v>
      </c>
      <c r="J20" s="11">
        <f>SUM(J12:J19)</f>
        <v>770642.35</v>
      </c>
    </row>
  </sheetData>
  <pageMargins left="0.7" right="0.7" top="0.75" bottom="0.75" header="0.3" footer="0.3"/>
  <pageSetup scale="9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4D19E-5AA9-4093-BE40-45DB4C2F38F4}">
  <sheetPr>
    <tabColor rgb="FF92D050"/>
    <pageSetUpPr fitToPage="1"/>
  </sheetPr>
  <dimension ref="A1:O20"/>
  <sheetViews>
    <sheetView zoomScale="90" zoomScaleNormal="90" workbookViewId="0">
      <selection activeCell="G15" sqref="G15"/>
    </sheetView>
  </sheetViews>
  <sheetFormatPr defaultRowHeight="12.75" x14ac:dyDescent="0.2"/>
  <cols>
    <col min="1" max="1" width="17.28515625" customWidth="1"/>
    <col min="2" max="2" width="19.28515625" bestFit="1" customWidth="1"/>
    <col min="3" max="3" width="19.140625" customWidth="1"/>
    <col min="4" max="5" width="13.28515625" bestFit="1" customWidth="1"/>
    <col min="6" max="6" width="5.7109375" customWidth="1"/>
    <col min="7" max="15" width="14.7109375" customWidth="1"/>
  </cols>
  <sheetData>
    <row r="1" spans="1:15" x14ac:dyDescent="0.2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" customHeight="1" x14ac:dyDescent="0.2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customHeight="1" x14ac:dyDescent="0.2">
      <c r="A4" s="1"/>
      <c r="B4" s="1"/>
      <c r="C4" s="1"/>
      <c r="D4" s="1"/>
      <c r="E4" s="1"/>
      <c r="F4" s="1"/>
      <c r="G4" s="1"/>
      <c r="H4" s="1"/>
    </row>
    <row r="5" spans="1:15" x14ac:dyDescent="0.2">
      <c r="A5" s="5" t="s">
        <v>30</v>
      </c>
      <c r="B5" s="1"/>
      <c r="C5" s="1"/>
      <c r="D5" s="1"/>
      <c r="E5" s="1"/>
      <c r="F5" s="1"/>
      <c r="G5" s="1"/>
      <c r="H5" s="1"/>
    </row>
    <row r="6" spans="1:15" x14ac:dyDescent="0.2">
      <c r="A6" s="1"/>
      <c r="B6" s="1"/>
      <c r="C6" s="1"/>
      <c r="D6" s="1"/>
      <c r="E6" s="1"/>
      <c r="F6" s="1"/>
      <c r="G6" s="1"/>
      <c r="H6" s="1"/>
    </row>
    <row r="7" spans="1:15" x14ac:dyDescent="0.2">
      <c r="A7" s="5" t="s">
        <v>16</v>
      </c>
      <c r="B7" s="1"/>
      <c r="C7" s="1"/>
      <c r="D7" s="1"/>
      <c r="E7" s="1"/>
      <c r="F7" s="1"/>
      <c r="G7" s="31" t="s">
        <v>54</v>
      </c>
      <c r="H7" s="1"/>
      <c r="J7" t="s">
        <v>69</v>
      </c>
    </row>
    <row r="8" spans="1:15" x14ac:dyDescent="0.2">
      <c r="A8" s="5"/>
      <c r="B8" s="1" t="s">
        <v>7</v>
      </c>
      <c r="C8" s="8"/>
      <c r="D8" s="1"/>
      <c r="E8" s="1"/>
      <c r="F8" s="1"/>
      <c r="G8" s="12">
        <v>44743</v>
      </c>
      <c r="H8" s="1"/>
      <c r="J8" s="32">
        <v>44013</v>
      </c>
    </row>
    <row r="9" spans="1:15" x14ac:dyDescent="0.2">
      <c r="A9" s="5"/>
      <c r="B9" s="1" t="s">
        <v>6</v>
      </c>
      <c r="C9" s="10">
        <v>2018</v>
      </c>
      <c r="D9" s="1">
        <v>2019</v>
      </c>
      <c r="E9" s="1" t="s">
        <v>18</v>
      </c>
      <c r="F9" s="1"/>
      <c r="G9" s="12">
        <v>45107</v>
      </c>
      <c r="H9" s="1" t="s">
        <v>19</v>
      </c>
      <c r="J9" s="32">
        <v>44377</v>
      </c>
    </row>
    <row r="10" spans="1:15" x14ac:dyDescent="0.2">
      <c r="A10" s="1"/>
      <c r="B10" s="1"/>
      <c r="C10" s="1"/>
      <c r="D10" s="1"/>
      <c r="E10" s="1"/>
      <c r="F10" s="1"/>
      <c r="G10" s="1"/>
      <c r="H10" s="1"/>
    </row>
    <row r="11" spans="1:15" x14ac:dyDescent="0.2">
      <c r="A11" s="5" t="s">
        <v>17</v>
      </c>
      <c r="B11" s="1"/>
      <c r="C11" s="1"/>
      <c r="D11" s="1"/>
      <c r="E11" s="1"/>
      <c r="F11" s="1"/>
      <c r="G11" s="1"/>
      <c r="H11" s="1"/>
    </row>
    <row r="12" spans="1:15" x14ac:dyDescent="0.2">
      <c r="A12" s="1"/>
      <c r="B12" s="1" t="s">
        <v>9</v>
      </c>
      <c r="C12" s="7">
        <v>0</v>
      </c>
      <c r="D12" s="7">
        <v>0</v>
      </c>
      <c r="E12" s="7">
        <f>(C12+D12)/2</f>
        <v>0</v>
      </c>
      <c r="F12" s="1"/>
      <c r="G12" s="7">
        <v>0</v>
      </c>
      <c r="H12" s="11">
        <f>G12-E12</f>
        <v>0</v>
      </c>
      <c r="J12" s="11">
        <v>0</v>
      </c>
    </row>
    <row r="13" spans="1:15" x14ac:dyDescent="0.2">
      <c r="A13" s="1"/>
      <c r="B13" s="1" t="s">
        <v>5</v>
      </c>
      <c r="C13" s="7">
        <v>98916</v>
      </c>
      <c r="D13" s="7">
        <v>84710</v>
      </c>
      <c r="E13" s="7">
        <f t="shared" ref="E13:E19" si="0">(C13+D13)/2</f>
        <v>91813</v>
      </c>
      <c r="F13" s="1"/>
      <c r="G13" s="7">
        <f>117000+35000</f>
        <v>152000</v>
      </c>
      <c r="H13" s="11">
        <f t="shared" ref="H13:H20" si="1">G13-E13</f>
        <v>60187</v>
      </c>
      <c r="J13" s="11">
        <f>105000+22560</f>
        <v>127560</v>
      </c>
    </row>
    <row r="14" spans="1:15" x14ac:dyDescent="0.2">
      <c r="A14" s="1"/>
      <c r="B14" s="1" t="s">
        <v>12</v>
      </c>
      <c r="C14" s="7">
        <v>0</v>
      </c>
      <c r="D14" s="7">
        <v>0</v>
      </c>
      <c r="E14" s="7">
        <f t="shared" si="0"/>
        <v>0</v>
      </c>
      <c r="F14" s="1"/>
      <c r="G14" s="7">
        <f>15000*2</f>
        <v>30000</v>
      </c>
      <c r="H14" s="11">
        <f t="shared" si="1"/>
        <v>30000</v>
      </c>
      <c r="J14" s="11">
        <v>0</v>
      </c>
    </row>
    <row r="15" spans="1:15" x14ac:dyDescent="0.2">
      <c r="A15" s="1"/>
      <c r="B15" s="1" t="s">
        <v>1</v>
      </c>
      <c r="C15" s="7">
        <v>0</v>
      </c>
      <c r="D15" s="7">
        <v>0</v>
      </c>
      <c r="E15" s="7">
        <f t="shared" si="0"/>
        <v>0</v>
      </c>
      <c r="F15" s="1"/>
      <c r="G15" s="7">
        <v>0</v>
      </c>
      <c r="H15" s="11">
        <f t="shared" si="1"/>
        <v>0</v>
      </c>
      <c r="J15" s="11">
        <v>0</v>
      </c>
    </row>
    <row r="16" spans="1:15" x14ac:dyDescent="0.2">
      <c r="A16" s="1"/>
      <c r="B16" s="1" t="s">
        <v>10</v>
      </c>
      <c r="C16" s="7">
        <v>0</v>
      </c>
      <c r="D16" s="7">
        <v>0</v>
      </c>
      <c r="E16" s="7">
        <f t="shared" si="0"/>
        <v>0</v>
      </c>
      <c r="F16" s="1"/>
      <c r="G16" s="7">
        <v>0</v>
      </c>
      <c r="H16" s="11">
        <f t="shared" si="1"/>
        <v>0</v>
      </c>
      <c r="J16" s="11">
        <v>0</v>
      </c>
    </row>
    <row r="17" spans="1:10" x14ac:dyDescent="0.2">
      <c r="A17" s="1"/>
      <c r="B17" s="9" t="s">
        <v>13</v>
      </c>
      <c r="C17" s="7">
        <v>0</v>
      </c>
      <c r="D17" s="7">
        <v>0</v>
      </c>
      <c r="E17" s="7">
        <f t="shared" si="0"/>
        <v>0</v>
      </c>
      <c r="F17" s="1"/>
      <c r="G17" s="7">
        <v>0</v>
      </c>
      <c r="H17" s="11">
        <f t="shared" si="1"/>
        <v>0</v>
      </c>
      <c r="J17" s="11">
        <v>0</v>
      </c>
    </row>
    <row r="18" spans="1:10" x14ac:dyDescent="0.2">
      <c r="A18" s="1"/>
      <c r="B18" s="1" t="s">
        <v>11</v>
      </c>
      <c r="C18" s="7">
        <v>0</v>
      </c>
      <c r="D18" s="7">
        <v>0</v>
      </c>
      <c r="E18" s="7">
        <f t="shared" si="0"/>
        <v>0</v>
      </c>
      <c r="F18" s="1"/>
      <c r="G18" s="7">
        <v>0</v>
      </c>
      <c r="H18" s="11">
        <f t="shared" si="1"/>
        <v>0</v>
      </c>
      <c r="I18" s="2" t="s">
        <v>3</v>
      </c>
      <c r="J18" s="11">
        <v>0</v>
      </c>
    </row>
    <row r="19" spans="1:10" x14ac:dyDescent="0.2">
      <c r="A19" s="1"/>
      <c r="B19" s="1" t="s">
        <v>2</v>
      </c>
      <c r="C19" s="7">
        <v>0</v>
      </c>
      <c r="D19" s="7">
        <v>0</v>
      </c>
      <c r="E19" s="7">
        <f t="shared" si="0"/>
        <v>0</v>
      </c>
      <c r="F19" s="1"/>
      <c r="G19" s="7">
        <v>0</v>
      </c>
      <c r="H19" s="11">
        <f t="shared" si="1"/>
        <v>0</v>
      </c>
      <c r="J19" s="11">
        <v>0</v>
      </c>
    </row>
    <row r="20" spans="1:10" x14ac:dyDescent="0.2">
      <c r="A20" s="1"/>
      <c r="B20" s="1" t="s">
        <v>0</v>
      </c>
      <c r="C20" s="7">
        <f>SUM(C11:C19)</f>
        <v>98916</v>
      </c>
      <c r="D20" s="7">
        <f>SUM(D11:D19)</f>
        <v>84710</v>
      </c>
      <c r="E20" s="7">
        <f>SUM(E11:E19)</f>
        <v>91813</v>
      </c>
      <c r="F20" s="1"/>
      <c r="G20" s="7">
        <f>SUM(G11:G19)</f>
        <v>182000</v>
      </c>
      <c r="H20" s="11">
        <f t="shared" si="1"/>
        <v>90187</v>
      </c>
      <c r="J20" s="11">
        <f>SUM(J12:J19)</f>
        <v>127560</v>
      </c>
    </row>
  </sheetData>
  <pageMargins left="0.7" right="0.7" top="0.75" bottom="0.75" header="0.3" footer="0.3"/>
  <pageSetup scale="9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9BD0D-AF82-47B7-B484-C77A32B3B8FC}">
  <sheetPr>
    <tabColor rgb="FF00B050"/>
    <pageSetUpPr fitToPage="1"/>
  </sheetPr>
  <dimension ref="A1:O24"/>
  <sheetViews>
    <sheetView zoomScale="90" zoomScaleNormal="90" workbookViewId="0">
      <selection activeCell="G7" sqref="G7"/>
    </sheetView>
  </sheetViews>
  <sheetFormatPr defaultRowHeight="12.75" x14ac:dyDescent="0.2"/>
  <cols>
    <col min="1" max="1" width="17.28515625" customWidth="1"/>
    <col min="2" max="2" width="19.28515625" bestFit="1" customWidth="1"/>
    <col min="3" max="3" width="19.140625" customWidth="1"/>
    <col min="4" max="4" width="16.42578125" customWidth="1"/>
    <col min="5" max="5" width="13.28515625" bestFit="1" customWidth="1"/>
    <col min="6" max="6" width="5.7109375" customWidth="1"/>
    <col min="7" max="15" width="14.7109375" customWidth="1"/>
  </cols>
  <sheetData>
    <row r="1" spans="1:15" x14ac:dyDescent="0.2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" customHeight="1" x14ac:dyDescent="0.2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customHeight="1" x14ac:dyDescent="0.2">
      <c r="A4" s="1"/>
      <c r="B4" s="1"/>
      <c r="C4" s="1"/>
      <c r="D4" s="1"/>
      <c r="E4" s="1"/>
      <c r="F4" s="1"/>
      <c r="G4" s="1"/>
      <c r="H4" s="1"/>
    </row>
    <row r="5" spans="1:15" x14ac:dyDescent="0.2">
      <c r="A5" s="5" t="s">
        <v>31</v>
      </c>
      <c r="B5" s="1"/>
      <c r="C5" s="1"/>
      <c r="D5" s="1"/>
      <c r="E5" s="1"/>
      <c r="F5" s="1"/>
      <c r="G5" s="1"/>
      <c r="H5" s="1"/>
    </row>
    <row r="6" spans="1:15" x14ac:dyDescent="0.2">
      <c r="A6" s="1"/>
      <c r="B6" s="1"/>
      <c r="C6" s="1"/>
      <c r="D6" s="1"/>
      <c r="E6" s="1"/>
      <c r="F6" s="1"/>
      <c r="G6" s="1"/>
      <c r="H6" s="1"/>
    </row>
    <row r="7" spans="1:15" x14ac:dyDescent="0.2">
      <c r="A7" s="5" t="s">
        <v>16</v>
      </c>
      <c r="B7" s="1"/>
      <c r="C7" s="1"/>
      <c r="D7" s="1"/>
      <c r="E7" s="1"/>
      <c r="F7" s="1"/>
      <c r="G7" s="31" t="s">
        <v>54</v>
      </c>
      <c r="H7" s="1"/>
      <c r="J7" t="s">
        <v>69</v>
      </c>
    </row>
    <row r="8" spans="1:15" x14ac:dyDescent="0.2">
      <c r="A8" s="5"/>
      <c r="B8" s="1" t="s">
        <v>7</v>
      </c>
      <c r="C8" s="8"/>
      <c r="D8" s="1"/>
      <c r="E8" s="1"/>
      <c r="F8" s="1"/>
      <c r="G8" s="12">
        <v>44743</v>
      </c>
      <c r="H8" s="1"/>
      <c r="J8" s="32">
        <v>44013</v>
      </c>
    </row>
    <row r="9" spans="1:15" x14ac:dyDescent="0.2">
      <c r="A9" s="5"/>
      <c r="B9" s="1" t="s">
        <v>6</v>
      </c>
      <c r="C9" s="10">
        <v>2018</v>
      </c>
      <c r="D9" s="1">
        <v>2019</v>
      </c>
      <c r="E9" s="1" t="s">
        <v>18</v>
      </c>
      <c r="F9" s="1"/>
      <c r="G9" s="12">
        <v>45107</v>
      </c>
      <c r="H9" s="1" t="s">
        <v>19</v>
      </c>
      <c r="J9" s="32">
        <v>44377</v>
      </c>
    </row>
    <row r="10" spans="1:15" x14ac:dyDescent="0.2">
      <c r="A10" s="1"/>
      <c r="B10" s="1"/>
      <c r="C10" s="1"/>
      <c r="D10" s="1"/>
      <c r="E10" s="1"/>
      <c r="F10" s="1"/>
      <c r="G10" s="1"/>
      <c r="H10" s="1"/>
    </row>
    <row r="11" spans="1:15" x14ac:dyDescent="0.2">
      <c r="A11" s="5" t="s">
        <v>17</v>
      </c>
      <c r="B11" s="1"/>
      <c r="C11" s="1"/>
      <c r="D11" s="1"/>
      <c r="E11" s="1"/>
      <c r="F11" s="1"/>
      <c r="G11" s="1"/>
      <c r="H11" s="1"/>
    </row>
    <row r="12" spans="1:15" x14ac:dyDescent="0.2">
      <c r="A12" s="1"/>
      <c r="B12" s="1" t="s">
        <v>9</v>
      </c>
      <c r="C12" s="7">
        <v>0</v>
      </c>
      <c r="D12" s="7">
        <v>0</v>
      </c>
      <c r="E12" s="7">
        <f>(C12+D12)/2</f>
        <v>0</v>
      </c>
      <c r="F12" s="1"/>
      <c r="G12" s="7">
        <v>0</v>
      </c>
      <c r="H12" s="11">
        <f>G12-E12</f>
        <v>0</v>
      </c>
      <c r="J12" s="11">
        <v>0</v>
      </c>
    </row>
    <row r="13" spans="1:15" x14ac:dyDescent="0.2">
      <c r="A13" s="1"/>
      <c r="B13" s="1" t="s">
        <v>5</v>
      </c>
      <c r="C13" s="7">
        <v>812500</v>
      </c>
      <c r="D13" s="7">
        <v>755170</v>
      </c>
      <c r="E13" s="7">
        <f t="shared" ref="E13:E19" si="0">(C13+D13)/2</f>
        <v>783835</v>
      </c>
      <c r="F13" s="1"/>
      <c r="G13" s="7">
        <f>750000+80000+75000</f>
        <v>905000</v>
      </c>
      <c r="H13" s="11">
        <f t="shared" ref="H13:H20" si="1">G13-E13</f>
        <v>121165</v>
      </c>
      <c r="J13" s="11">
        <f>750000+60430.11</f>
        <v>810430.11</v>
      </c>
    </row>
    <row r="14" spans="1:15" x14ac:dyDescent="0.2">
      <c r="A14" s="1"/>
      <c r="B14" s="1" t="s">
        <v>12</v>
      </c>
      <c r="C14" s="7">
        <v>0</v>
      </c>
      <c r="D14" s="7">
        <v>0</v>
      </c>
      <c r="E14" s="7">
        <f t="shared" si="0"/>
        <v>0</v>
      </c>
      <c r="F14" s="1"/>
      <c r="G14" s="7">
        <f>25000*2</f>
        <v>50000</v>
      </c>
      <c r="H14" s="11">
        <f t="shared" si="1"/>
        <v>50000</v>
      </c>
      <c r="J14" s="11">
        <v>0</v>
      </c>
    </row>
    <row r="15" spans="1:15" x14ac:dyDescent="0.2">
      <c r="A15" s="1"/>
      <c r="B15" s="1" t="s">
        <v>1</v>
      </c>
      <c r="C15" s="7">
        <v>0</v>
      </c>
      <c r="D15" s="7">
        <v>0</v>
      </c>
      <c r="E15" s="7">
        <f t="shared" si="0"/>
        <v>0</v>
      </c>
      <c r="F15" s="1"/>
      <c r="G15" s="7">
        <v>0</v>
      </c>
      <c r="H15" s="11">
        <f t="shared" si="1"/>
        <v>0</v>
      </c>
      <c r="J15" s="11">
        <v>0</v>
      </c>
    </row>
    <row r="16" spans="1:15" x14ac:dyDescent="0.2">
      <c r="A16" s="1"/>
      <c r="B16" s="1" t="s">
        <v>10</v>
      </c>
      <c r="C16" s="7">
        <v>4295.25</v>
      </c>
      <c r="D16" s="7">
        <v>3863.13</v>
      </c>
      <c r="E16" s="7">
        <f t="shared" si="0"/>
        <v>4079.19</v>
      </c>
      <c r="F16" s="1"/>
      <c r="G16" s="7">
        <v>0</v>
      </c>
      <c r="H16" s="11">
        <f t="shared" si="1"/>
        <v>-4079.19</v>
      </c>
      <c r="J16" s="11">
        <v>9640.1</v>
      </c>
    </row>
    <row r="17" spans="1:10" x14ac:dyDescent="0.2">
      <c r="A17" s="1"/>
      <c r="B17" s="9" t="s">
        <v>13</v>
      </c>
      <c r="C17" s="7">
        <v>0</v>
      </c>
      <c r="D17" s="7">
        <v>0</v>
      </c>
      <c r="E17" s="7">
        <f t="shared" si="0"/>
        <v>0</v>
      </c>
      <c r="F17" s="1"/>
      <c r="G17" s="7">
        <v>0</v>
      </c>
      <c r="H17" s="11">
        <f t="shared" si="1"/>
        <v>0</v>
      </c>
      <c r="J17" s="11">
        <v>0</v>
      </c>
    </row>
    <row r="18" spans="1:10" x14ac:dyDescent="0.2">
      <c r="A18" s="1"/>
      <c r="B18" s="1" t="s">
        <v>11</v>
      </c>
      <c r="C18" s="7">
        <v>0</v>
      </c>
      <c r="D18" s="7">
        <v>0</v>
      </c>
      <c r="E18" s="7">
        <f t="shared" si="0"/>
        <v>0</v>
      </c>
      <c r="F18" s="1"/>
      <c r="G18" s="7">
        <v>0</v>
      </c>
      <c r="H18" s="11">
        <f t="shared" si="1"/>
        <v>0</v>
      </c>
      <c r="I18" s="2" t="s">
        <v>3</v>
      </c>
      <c r="J18" s="11">
        <v>0</v>
      </c>
    </row>
    <row r="19" spans="1:10" x14ac:dyDescent="0.2">
      <c r="A19" s="1"/>
      <c r="B19" s="1" t="s">
        <v>2</v>
      </c>
      <c r="C19" s="7">
        <v>29988.13</v>
      </c>
      <c r="D19" s="7">
        <v>51376.58</v>
      </c>
      <c r="E19" s="7">
        <f t="shared" si="0"/>
        <v>40682.355000000003</v>
      </c>
      <c r="F19" s="1"/>
      <c r="G19" s="7">
        <v>0</v>
      </c>
      <c r="H19" s="11">
        <f t="shared" si="1"/>
        <v>-40682.355000000003</v>
      </c>
      <c r="J19" s="11">
        <v>1022.48</v>
      </c>
    </row>
    <row r="20" spans="1:10" x14ac:dyDescent="0.2">
      <c r="A20" s="1"/>
      <c r="B20" s="1" t="s">
        <v>0</v>
      </c>
      <c r="C20" s="7">
        <f>SUM(C11:C19)</f>
        <v>846783.38</v>
      </c>
      <c r="D20" s="7">
        <f>SUM(D11:D19)</f>
        <v>810409.71</v>
      </c>
      <c r="E20" s="7">
        <f>SUM(E11:E19)</f>
        <v>828596.54499999993</v>
      </c>
      <c r="F20" s="1"/>
      <c r="G20" s="7">
        <f>SUM(G11:G19)</f>
        <v>955000</v>
      </c>
      <c r="H20" s="11">
        <f t="shared" si="1"/>
        <v>126403.45500000007</v>
      </c>
      <c r="J20" s="11">
        <f>SUM(J12:J19)</f>
        <v>821092.69</v>
      </c>
    </row>
    <row r="22" spans="1:10" x14ac:dyDescent="0.2">
      <c r="A22" t="s">
        <v>37</v>
      </c>
    </row>
    <row r="23" spans="1:10" x14ac:dyDescent="0.2">
      <c r="A23" t="s">
        <v>38</v>
      </c>
    </row>
    <row r="24" spans="1:10" x14ac:dyDescent="0.2">
      <c r="A24" t="s">
        <v>39</v>
      </c>
    </row>
  </sheetData>
  <pageMargins left="0.7" right="0.7" top="0.75" bottom="0.75" header="0.3" footer="0.3"/>
  <pageSetup scale="9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EB7FC-A8A3-400D-BC36-603096BE910B}">
  <sheetPr>
    <tabColor rgb="FF00B050"/>
    <pageSetUpPr fitToPage="1"/>
  </sheetPr>
  <dimension ref="A1:O20"/>
  <sheetViews>
    <sheetView zoomScale="90" zoomScaleNormal="90" workbookViewId="0">
      <selection activeCell="J21" sqref="J21"/>
    </sheetView>
  </sheetViews>
  <sheetFormatPr defaultRowHeight="12.75" x14ac:dyDescent="0.2"/>
  <cols>
    <col min="1" max="1" width="17.28515625" customWidth="1"/>
    <col min="2" max="2" width="19.28515625" bestFit="1" customWidth="1"/>
    <col min="3" max="3" width="19.140625" customWidth="1"/>
    <col min="4" max="4" width="16" customWidth="1"/>
    <col min="5" max="5" width="13.28515625" bestFit="1" customWidth="1"/>
    <col min="6" max="6" width="5.7109375" customWidth="1"/>
    <col min="7" max="15" width="14.7109375" customWidth="1"/>
  </cols>
  <sheetData>
    <row r="1" spans="1:15" x14ac:dyDescent="0.2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" customHeight="1" x14ac:dyDescent="0.2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customHeight="1" x14ac:dyDescent="0.2">
      <c r="A4" s="1"/>
      <c r="B4" s="1"/>
      <c r="C4" s="1"/>
      <c r="D4" s="1"/>
      <c r="E4" s="1"/>
      <c r="F4" s="1"/>
      <c r="G4" s="1"/>
      <c r="H4" s="1"/>
    </row>
    <row r="5" spans="1:15" x14ac:dyDescent="0.2">
      <c r="A5" s="5" t="s">
        <v>32</v>
      </c>
      <c r="B5" s="1"/>
      <c r="C5" s="1"/>
      <c r="D5" s="1"/>
      <c r="E5" s="1"/>
      <c r="F5" s="1"/>
      <c r="G5" s="1"/>
      <c r="H5" s="1"/>
    </row>
    <row r="6" spans="1:15" x14ac:dyDescent="0.2">
      <c r="A6" s="1"/>
      <c r="B6" s="1"/>
      <c r="C6" s="1"/>
      <c r="D6" s="1"/>
      <c r="E6" s="1"/>
      <c r="F6" s="1"/>
      <c r="G6" s="1"/>
      <c r="H6" s="1"/>
    </row>
    <row r="7" spans="1:15" x14ac:dyDescent="0.2">
      <c r="A7" s="5" t="s">
        <v>16</v>
      </c>
      <c r="B7" s="1"/>
      <c r="C7" s="1"/>
      <c r="D7" s="1"/>
      <c r="E7" s="1"/>
      <c r="F7" s="1"/>
      <c r="G7" s="1" t="s">
        <v>54</v>
      </c>
      <c r="H7" s="1"/>
      <c r="J7" t="s">
        <v>69</v>
      </c>
    </row>
    <row r="8" spans="1:15" x14ac:dyDescent="0.2">
      <c r="A8" s="5"/>
      <c r="B8" s="1" t="s">
        <v>7</v>
      </c>
      <c r="C8" s="8"/>
      <c r="D8" s="1"/>
      <c r="E8" s="1"/>
      <c r="F8" s="1"/>
      <c r="G8" s="12">
        <v>44743</v>
      </c>
      <c r="H8" s="1"/>
      <c r="J8" s="32">
        <v>44013</v>
      </c>
    </row>
    <row r="9" spans="1:15" x14ac:dyDescent="0.2">
      <c r="A9" s="5"/>
      <c r="B9" s="1" t="s">
        <v>6</v>
      </c>
      <c r="C9" s="10">
        <v>2018</v>
      </c>
      <c r="D9" s="1">
        <v>2019</v>
      </c>
      <c r="E9" s="1" t="s">
        <v>18</v>
      </c>
      <c r="F9" s="1"/>
      <c r="G9" s="12">
        <v>45107</v>
      </c>
      <c r="H9" s="1" t="s">
        <v>19</v>
      </c>
      <c r="J9" s="32">
        <v>44377</v>
      </c>
    </row>
    <row r="10" spans="1:15" x14ac:dyDescent="0.2">
      <c r="A10" s="1"/>
      <c r="B10" s="1"/>
      <c r="C10" s="1">
        <v>2019</v>
      </c>
      <c r="D10" s="1">
        <v>2020</v>
      </c>
      <c r="E10" s="1"/>
      <c r="F10" s="1"/>
      <c r="G10" s="1"/>
      <c r="H10" s="1"/>
    </row>
    <row r="11" spans="1:15" x14ac:dyDescent="0.2">
      <c r="A11" s="5" t="s">
        <v>17</v>
      </c>
      <c r="B11" s="1"/>
      <c r="C11" s="1"/>
      <c r="D11" s="1"/>
      <c r="E11" s="1"/>
      <c r="F11" s="1"/>
      <c r="G11" s="1"/>
      <c r="H11" s="1"/>
    </row>
    <row r="12" spans="1:15" x14ac:dyDescent="0.2">
      <c r="A12" s="1"/>
      <c r="B12" s="1" t="s">
        <v>9</v>
      </c>
      <c r="C12" s="7">
        <v>181775.01</v>
      </c>
      <c r="D12" s="7">
        <v>194094</v>
      </c>
      <c r="E12" s="7">
        <f>(C12+D12)/2</f>
        <v>187934.505</v>
      </c>
      <c r="F12" s="1"/>
      <c r="G12" s="7">
        <v>205832</v>
      </c>
      <c r="H12" s="11">
        <f>G12-E12</f>
        <v>17897.494999999995</v>
      </c>
      <c r="J12" s="11"/>
    </row>
    <row r="13" spans="1:15" x14ac:dyDescent="0.2">
      <c r="A13" s="1"/>
      <c r="B13" s="1" t="s">
        <v>5</v>
      </c>
      <c r="C13" s="7">
        <v>51000</v>
      </c>
      <c r="D13" s="7">
        <v>47685</v>
      </c>
      <c r="E13" s="7">
        <f t="shared" ref="E13:E19" si="0">(C13+D13)/2</f>
        <v>49342.5</v>
      </c>
      <c r="F13" s="1"/>
      <c r="G13" s="7">
        <v>52020</v>
      </c>
      <c r="H13" s="11">
        <f t="shared" ref="H13:H20" si="1">G13-E13</f>
        <v>2677.5</v>
      </c>
      <c r="J13" s="11"/>
    </row>
    <row r="14" spans="1:15" x14ac:dyDescent="0.2">
      <c r="A14" s="1"/>
      <c r="B14" s="1" t="s">
        <v>12</v>
      </c>
      <c r="C14" s="7">
        <v>1579</v>
      </c>
      <c r="D14" s="7">
        <v>9500</v>
      </c>
      <c r="E14" s="7">
        <f t="shared" si="0"/>
        <v>5539.5</v>
      </c>
      <c r="F14" s="1"/>
      <c r="G14" s="7">
        <v>9500</v>
      </c>
      <c r="H14" s="11">
        <f t="shared" si="1"/>
        <v>3960.5</v>
      </c>
      <c r="J14" s="11"/>
    </row>
    <row r="15" spans="1:15" x14ac:dyDescent="0.2">
      <c r="A15" s="1"/>
      <c r="B15" s="1" t="s">
        <v>1</v>
      </c>
      <c r="C15" s="7">
        <v>647</v>
      </c>
      <c r="D15" s="7">
        <v>500</v>
      </c>
      <c r="E15" s="7">
        <f t="shared" si="0"/>
        <v>573.5</v>
      </c>
      <c r="F15" s="1"/>
      <c r="G15" s="7">
        <v>500</v>
      </c>
      <c r="H15" s="11">
        <f t="shared" si="1"/>
        <v>-73.5</v>
      </c>
      <c r="J15" s="11"/>
    </row>
    <row r="16" spans="1:15" x14ac:dyDescent="0.2">
      <c r="A16" s="1"/>
      <c r="B16" s="1" t="s">
        <v>10</v>
      </c>
      <c r="C16" s="7">
        <v>800</v>
      </c>
      <c r="D16" s="7">
        <v>800</v>
      </c>
      <c r="E16" s="7">
        <f t="shared" si="0"/>
        <v>800</v>
      </c>
      <c r="F16" s="1"/>
      <c r="G16" s="7">
        <v>800</v>
      </c>
      <c r="H16" s="11">
        <f t="shared" si="1"/>
        <v>0</v>
      </c>
      <c r="J16" s="11"/>
    </row>
    <row r="17" spans="1:10" x14ac:dyDescent="0.2">
      <c r="A17" s="1"/>
      <c r="B17" s="9" t="s">
        <v>13</v>
      </c>
      <c r="C17" s="7">
        <v>0</v>
      </c>
      <c r="D17" s="7">
        <v>0</v>
      </c>
      <c r="E17" s="7">
        <f t="shared" si="0"/>
        <v>0</v>
      </c>
      <c r="F17" s="1"/>
      <c r="G17" s="7">
        <v>0</v>
      </c>
      <c r="H17" s="11">
        <f t="shared" si="1"/>
        <v>0</v>
      </c>
      <c r="J17" s="11"/>
    </row>
    <row r="18" spans="1:10" x14ac:dyDescent="0.2">
      <c r="A18" s="1"/>
      <c r="B18" s="1" t="s">
        <v>11</v>
      </c>
      <c r="C18" s="7">
        <v>2847</v>
      </c>
      <c r="D18" s="7">
        <v>2770</v>
      </c>
      <c r="E18" s="7">
        <f t="shared" si="0"/>
        <v>2808.5</v>
      </c>
      <c r="F18" s="1"/>
      <c r="G18" s="7">
        <v>2770</v>
      </c>
      <c r="H18" s="11">
        <f t="shared" si="1"/>
        <v>-38.5</v>
      </c>
      <c r="I18" s="2" t="s">
        <v>3</v>
      </c>
      <c r="J18" s="11"/>
    </row>
    <row r="19" spans="1:10" x14ac:dyDescent="0.2">
      <c r="A19" s="1"/>
      <c r="B19" s="1" t="s">
        <v>2</v>
      </c>
      <c r="C19" s="7">
        <v>0</v>
      </c>
      <c r="D19" s="7">
        <v>0</v>
      </c>
      <c r="E19" s="7">
        <f t="shared" si="0"/>
        <v>0</v>
      </c>
      <c r="F19" s="1"/>
      <c r="G19" s="7">
        <v>0</v>
      </c>
      <c r="H19" s="11">
        <f t="shared" si="1"/>
        <v>0</v>
      </c>
      <c r="J19" s="11"/>
    </row>
    <row r="20" spans="1:10" x14ac:dyDescent="0.2">
      <c r="A20" s="1"/>
      <c r="B20" s="1" t="s">
        <v>0</v>
      </c>
      <c r="C20" s="7">
        <f>SUM(C11:C19)</f>
        <v>238648.01</v>
      </c>
      <c r="D20" s="7">
        <f>SUM(D11:D19)</f>
        <v>255349</v>
      </c>
      <c r="E20" s="7">
        <f>SUM(E11:E19)</f>
        <v>246998.505</v>
      </c>
      <c r="F20" s="1"/>
      <c r="G20" s="7">
        <f>SUM(G11:G19)</f>
        <v>271422</v>
      </c>
      <c r="H20" s="11">
        <f t="shared" si="1"/>
        <v>24423.494999999995</v>
      </c>
      <c r="J20" s="11">
        <f>SUM(J12:J19)</f>
        <v>0</v>
      </c>
    </row>
  </sheetData>
  <pageMargins left="0.7" right="0.7" top="0.75" bottom="0.75" header="0.3" footer="0.3"/>
  <pageSetup scale="9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906E8-E719-49A8-84A2-3A5A0A8231DF}">
  <sheetPr>
    <tabColor rgb="FF00B050"/>
    <pageSetUpPr fitToPage="1"/>
  </sheetPr>
  <dimension ref="A1:O20"/>
  <sheetViews>
    <sheetView zoomScale="90" zoomScaleNormal="90" workbookViewId="0">
      <selection activeCell="G17" sqref="G17"/>
    </sheetView>
  </sheetViews>
  <sheetFormatPr defaultRowHeight="12.75" x14ac:dyDescent="0.2"/>
  <cols>
    <col min="1" max="1" width="17.28515625" customWidth="1"/>
    <col min="2" max="2" width="19.28515625" bestFit="1" customWidth="1"/>
    <col min="3" max="3" width="19.140625" customWidth="1"/>
    <col min="4" max="4" width="12.140625" bestFit="1" customWidth="1"/>
    <col min="5" max="5" width="12.42578125" bestFit="1" customWidth="1"/>
    <col min="6" max="6" width="5.7109375" customWidth="1"/>
    <col min="7" max="15" width="14.7109375" customWidth="1"/>
  </cols>
  <sheetData>
    <row r="1" spans="1:15" x14ac:dyDescent="0.2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" customHeight="1" x14ac:dyDescent="0.2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customHeight="1" x14ac:dyDescent="0.2">
      <c r="A4" s="1"/>
      <c r="B4" s="1"/>
      <c r="C4" s="1"/>
      <c r="D4" s="1"/>
      <c r="E4" s="1"/>
      <c r="F4" s="1"/>
      <c r="G4" s="1"/>
      <c r="H4" s="1"/>
    </row>
    <row r="5" spans="1:15" x14ac:dyDescent="0.2">
      <c r="A5" s="5" t="s">
        <v>33</v>
      </c>
      <c r="B5" s="1"/>
      <c r="C5" s="1"/>
      <c r="D5" s="1"/>
      <c r="E5" s="1"/>
      <c r="F5" s="1"/>
      <c r="G5" s="1"/>
      <c r="H5" s="1"/>
    </row>
    <row r="6" spans="1:15" x14ac:dyDescent="0.2">
      <c r="A6" s="1"/>
      <c r="B6" s="1"/>
      <c r="C6" s="1"/>
      <c r="D6" s="1"/>
      <c r="E6" s="1"/>
      <c r="F6" s="1"/>
      <c r="G6" s="1"/>
      <c r="H6" s="1"/>
    </row>
    <row r="7" spans="1:15" x14ac:dyDescent="0.2">
      <c r="A7" s="5" t="s">
        <v>16</v>
      </c>
      <c r="B7" s="1"/>
      <c r="C7" s="1"/>
      <c r="D7" s="1"/>
      <c r="E7" s="1"/>
      <c r="F7" s="1"/>
      <c r="G7" s="1" t="s">
        <v>54</v>
      </c>
      <c r="H7" s="1"/>
      <c r="J7" t="s">
        <v>69</v>
      </c>
    </row>
    <row r="8" spans="1:15" x14ac:dyDescent="0.2">
      <c r="A8" s="5"/>
      <c r="B8" s="1" t="s">
        <v>7</v>
      </c>
      <c r="C8" s="8"/>
      <c r="D8" s="1"/>
      <c r="E8" s="1"/>
      <c r="F8" s="1"/>
      <c r="G8" s="12">
        <v>44743</v>
      </c>
      <c r="H8" s="1"/>
      <c r="J8" s="32">
        <v>44013</v>
      </c>
    </row>
    <row r="9" spans="1:15" x14ac:dyDescent="0.2">
      <c r="A9" s="5"/>
      <c r="B9" s="1" t="s">
        <v>6</v>
      </c>
      <c r="C9" s="10">
        <v>2018</v>
      </c>
      <c r="D9" s="1">
        <v>2019</v>
      </c>
      <c r="E9" s="1" t="s">
        <v>18</v>
      </c>
      <c r="F9" s="1"/>
      <c r="G9" s="12">
        <v>45107</v>
      </c>
      <c r="H9" s="1" t="s">
        <v>19</v>
      </c>
      <c r="J9" s="32">
        <v>44377</v>
      </c>
    </row>
    <row r="10" spans="1:15" x14ac:dyDescent="0.2">
      <c r="A10" s="1"/>
      <c r="B10" s="1"/>
      <c r="C10" s="1"/>
      <c r="D10" s="1"/>
      <c r="E10" s="1"/>
      <c r="F10" s="1"/>
      <c r="G10" s="1"/>
      <c r="H10" s="1"/>
    </row>
    <row r="11" spans="1:15" x14ac:dyDescent="0.2">
      <c r="A11" s="5" t="s">
        <v>17</v>
      </c>
      <c r="B11" s="1"/>
      <c r="C11" s="1"/>
      <c r="D11" s="1"/>
      <c r="E11" s="1"/>
      <c r="F11" s="1"/>
      <c r="G11" s="1"/>
      <c r="H11" s="1"/>
    </row>
    <row r="12" spans="1:15" x14ac:dyDescent="0.2">
      <c r="A12" s="1"/>
      <c r="B12" s="1" t="s">
        <v>9</v>
      </c>
      <c r="C12" s="7">
        <v>9722.8799999999992</v>
      </c>
      <c r="D12" s="7">
        <v>9682.42</v>
      </c>
      <c r="E12" s="7">
        <f>(C12+D12)/2</f>
        <v>9702.65</v>
      </c>
      <c r="F12" s="1"/>
      <c r="G12" s="7">
        <v>104442</v>
      </c>
      <c r="H12" s="11">
        <f>G12-E12</f>
        <v>94739.35</v>
      </c>
      <c r="J12" s="11"/>
    </row>
    <row r="13" spans="1:15" x14ac:dyDescent="0.2">
      <c r="A13" s="1"/>
      <c r="B13" s="1" t="s">
        <v>5</v>
      </c>
      <c r="C13" s="7">
        <v>0</v>
      </c>
      <c r="D13" s="7">
        <v>0</v>
      </c>
      <c r="E13" s="7">
        <f t="shared" ref="E13:E19" si="0">(C13+D13)/2</f>
        <v>0</v>
      </c>
      <c r="F13" s="1"/>
      <c r="G13" s="7">
        <v>25000</v>
      </c>
      <c r="H13" s="11">
        <f t="shared" ref="H13:H20" si="1">G13-E13</f>
        <v>25000</v>
      </c>
      <c r="J13" s="11"/>
    </row>
    <row r="14" spans="1:15" x14ac:dyDescent="0.2">
      <c r="A14" s="1"/>
      <c r="B14" s="1" t="s">
        <v>12</v>
      </c>
      <c r="C14" s="7">
        <v>0</v>
      </c>
      <c r="D14" s="7">
        <v>0</v>
      </c>
      <c r="E14" s="7">
        <f t="shared" si="0"/>
        <v>0</v>
      </c>
      <c r="F14" s="1"/>
      <c r="G14" s="7">
        <v>13000</v>
      </c>
      <c r="H14" s="11">
        <f t="shared" si="1"/>
        <v>13000</v>
      </c>
      <c r="J14" s="11"/>
    </row>
    <row r="15" spans="1:15" x14ac:dyDescent="0.2">
      <c r="A15" s="1"/>
      <c r="B15" s="1" t="s">
        <v>1</v>
      </c>
      <c r="C15" s="7">
        <v>0</v>
      </c>
      <c r="D15" s="7">
        <v>0</v>
      </c>
      <c r="E15" s="7">
        <f t="shared" si="0"/>
        <v>0</v>
      </c>
      <c r="F15" s="1"/>
      <c r="G15" s="7">
        <v>0</v>
      </c>
      <c r="H15" s="11">
        <f t="shared" si="1"/>
        <v>0</v>
      </c>
      <c r="J15" s="11"/>
    </row>
    <row r="16" spans="1:15" x14ac:dyDescent="0.2">
      <c r="A16" s="1"/>
      <c r="B16" s="1" t="s">
        <v>10</v>
      </c>
      <c r="C16" s="7">
        <v>0</v>
      </c>
      <c r="D16" s="7">
        <v>0</v>
      </c>
      <c r="E16" s="7">
        <f t="shared" si="0"/>
        <v>0</v>
      </c>
      <c r="F16" s="1"/>
      <c r="G16" s="7">
        <v>0</v>
      </c>
      <c r="H16" s="11">
        <f t="shared" si="1"/>
        <v>0</v>
      </c>
      <c r="J16" s="11"/>
    </row>
    <row r="17" spans="1:10" x14ac:dyDescent="0.2">
      <c r="A17" s="1"/>
      <c r="B17" s="9" t="s">
        <v>13</v>
      </c>
      <c r="C17" s="7">
        <v>0</v>
      </c>
      <c r="D17" s="7">
        <v>0</v>
      </c>
      <c r="E17" s="7">
        <f t="shared" si="0"/>
        <v>0</v>
      </c>
      <c r="F17" s="1"/>
      <c r="G17" s="7">
        <v>0</v>
      </c>
      <c r="H17" s="11">
        <f t="shared" si="1"/>
        <v>0</v>
      </c>
      <c r="J17" s="11"/>
    </row>
    <row r="18" spans="1:10" x14ac:dyDescent="0.2">
      <c r="A18" s="1"/>
      <c r="B18" s="1" t="s">
        <v>11</v>
      </c>
      <c r="C18" s="7">
        <v>0</v>
      </c>
      <c r="D18" s="7">
        <v>0</v>
      </c>
      <c r="E18" s="7">
        <f t="shared" si="0"/>
        <v>0</v>
      </c>
      <c r="F18" s="1"/>
      <c r="G18" s="7">
        <v>0</v>
      </c>
      <c r="H18" s="11">
        <f t="shared" si="1"/>
        <v>0</v>
      </c>
      <c r="I18" s="2" t="s">
        <v>3</v>
      </c>
      <c r="J18" s="11"/>
    </row>
    <row r="19" spans="1:10" x14ac:dyDescent="0.2">
      <c r="A19" s="1"/>
      <c r="B19" s="1" t="s">
        <v>2</v>
      </c>
      <c r="C19" s="7">
        <v>78428.009999999995</v>
      </c>
      <c r="D19" s="7">
        <v>81257.72</v>
      </c>
      <c r="E19" s="7">
        <f t="shared" si="0"/>
        <v>79842.864999999991</v>
      </c>
      <c r="F19" s="1"/>
      <c r="G19" s="7">
        <v>0</v>
      </c>
      <c r="H19" s="11">
        <f t="shared" si="1"/>
        <v>-79842.864999999991</v>
      </c>
      <c r="J19" s="11"/>
    </row>
    <row r="20" spans="1:10" x14ac:dyDescent="0.2">
      <c r="A20" s="1"/>
      <c r="B20" s="1" t="s">
        <v>0</v>
      </c>
      <c r="C20" s="7">
        <f>SUM(C11:C19)</f>
        <v>88150.89</v>
      </c>
      <c r="D20" s="7">
        <f>SUM(D11:D19)</f>
        <v>90940.14</v>
      </c>
      <c r="E20" s="7">
        <f>SUM(E11:E19)</f>
        <v>89545.514999999985</v>
      </c>
      <c r="F20" s="1"/>
      <c r="G20" s="7">
        <f>SUM(G11:G19)</f>
        <v>142442</v>
      </c>
      <c r="H20" s="11">
        <f t="shared" si="1"/>
        <v>52896.485000000015</v>
      </c>
      <c r="J20" s="11">
        <f>SUM(J12:J19)</f>
        <v>0</v>
      </c>
    </row>
  </sheetData>
  <pageMargins left="0.7" right="0.7" top="0.75" bottom="0.75" header="0.3" footer="0.3"/>
  <pageSetup scale="9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62C6F-2B98-424D-B734-C400E45A4D65}">
  <sheetPr>
    <tabColor rgb="FF92D050"/>
    <pageSetUpPr fitToPage="1"/>
  </sheetPr>
  <dimension ref="A1:P38"/>
  <sheetViews>
    <sheetView zoomScale="90" zoomScaleNormal="90" workbookViewId="0">
      <selection activeCell="G20" sqref="G20"/>
    </sheetView>
  </sheetViews>
  <sheetFormatPr defaultRowHeight="12.75" x14ac:dyDescent="0.2"/>
  <cols>
    <col min="1" max="1" width="17.28515625" customWidth="1"/>
    <col min="2" max="2" width="19.28515625" bestFit="1" customWidth="1"/>
    <col min="3" max="3" width="19.140625" customWidth="1"/>
    <col min="4" max="4" width="17.140625" customWidth="1"/>
    <col min="5" max="5" width="16.140625" bestFit="1" customWidth="1"/>
    <col min="6" max="6" width="5.7109375" customWidth="1"/>
    <col min="7" max="7" width="16.140625" bestFit="1" customWidth="1"/>
    <col min="8" max="8" width="16.140625" customWidth="1"/>
    <col min="9" max="9" width="16.140625" bestFit="1" customWidth="1"/>
    <col min="10" max="12" width="14.7109375" customWidth="1"/>
    <col min="13" max="13" width="16.140625" bestFit="1" customWidth="1"/>
    <col min="14" max="16" width="14.7109375" customWidth="1"/>
  </cols>
  <sheetData>
    <row r="1" spans="1:16" x14ac:dyDescent="0.2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5" customHeight="1" x14ac:dyDescent="0.2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 customHeight="1" x14ac:dyDescent="0.2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7.25" customHeigh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16" x14ac:dyDescent="0.2">
      <c r="A5" s="5" t="s">
        <v>34</v>
      </c>
      <c r="B5" s="1"/>
      <c r="C5" s="1"/>
      <c r="D5" s="1"/>
      <c r="E5" s="1"/>
      <c r="F5" s="1"/>
      <c r="G5" s="1"/>
      <c r="H5" s="1"/>
      <c r="I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</row>
    <row r="7" spans="1:16" x14ac:dyDescent="0.2">
      <c r="A7" s="5" t="s">
        <v>16</v>
      </c>
      <c r="B7" s="1"/>
      <c r="C7" s="1"/>
      <c r="D7" s="1"/>
      <c r="E7" s="1"/>
      <c r="F7" s="1"/>
      <c r="G7" s="31" t="s">
        <v>54</v>
      </c>
      <c r="H7" s="31" t="s">
        <v>54</v>
      </c>
      <c r="I7" s="1" t="s">
        <v>54</v>
      </c>
      <c r="K7" t="s">
        <v>69</v>
      </c>
      <c r="L7" t="s">
        <v>69</v>
      </c>
      <c r="M7" t="s">
        <v>69</v>
      </c>
    </row>
    <row r="8" spans="1:16" x14ac:dyDescent="0.2">
      <c r="A8" s="5"/>
      <c r="B8" s="1" t="s">
        <v>7</v>
      </c>
      <c r="C8" s="8"/>
      <c r="D8" s="1"/>
      <c r="E8" s="1"/>
      <c r="F8" s="1"/>
      <c r="G8" s="12">
        <v>44743</v>
      </c>
      <c r="H8" s="12">
        <v>44743</v>
      </c>
      <c r="I8" s="12">
        <v>44743</v>
      </c>
      <c r="K8" s="32">
        <v>44013</v>
      </c>
      <c r="L8" s="32">
        <v>44013</v>
      </c>
      <c r="M8" s="32">
        <v>44013</v>
      </c>
    </row>
    <row r="9" spans="1:16" x14ac:dyDescent="0.2">
      <c r="A9" s="5"/>
      <c r="B9" s="1" t="s">
        <v>6</v>
      </c>
      <c r="C9" s="10">
        <v>2018</v>
      </c>
      <c r="D9" s="1">
        <v>2019</v>
      </c>
      <c r="E9" s="1" t="s">
        <v>18</v>
      </c>
      <c r="F9" s="1"/>
      <c r="G9" s="12">
        <v>45107</v>
      </c>
      <c r="H9" s="12">
        <v>45107</v>
      </c>
      <c r="I9" s="12">
        <v>45107</v>
      </c>
      <c r="K9" s="32">
        <v>44377</v>
      </c>
      <c r="L9" s="32">
        <v>44377</v>
      </c>
      <c r="M9" s="32">
        <v>44377</v>
      </c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16" x14ac:dyDescent="0.2">
      <c r="A11" s="5" t="s">
        <v>17</v>
      </c>
      <c r="B11" s="1"/>
      <c r="C11" s="1"/>
      <c r="D11" s="1"/>
      <c r="E11" s="1"/>
      <c r="F11" s="1"/>
      <c r="G11" s="33" t="s">
        <v>70</v>
      </c>
      <c r="H11" s="33" t="s">
        <v>71</v>
      </c>
      <c r="I11" s="34" t="s">
        <v>72</v>
      </c>
      <c r="K11" s="34" t="s">
        <v>70</v>
      </c>
      <c r="L11" s="34" t="s">
        <v>71</v>
      </c>
      <c r="M11" s="34" t="s">
        <v>72</v>
      </c>
    </row>
    <row r="12" spans="1:16" x14ac:dyDescent="0.2">
      <c r="A12" s="1"/>
      <c r="B12" s="1" t="s">
        <v>9</v>
      </c>
      <c r="C12" s="7">
        <f>7372135+4043657</f>
        <v>11415792</v>
      </c>
      <c r="D12" s="7">
        <f>7657243+4122026</f>
        <v>11779269</v>
      </c>
      <c r="E12" s="7">
        <f>(C12+D12)/2</f>
        <v>11597530.5</v>
      </c>
      <c r="F12" s="1"/>
      <c r="G12" s="7">
        <v>9924498</v>
      </c>
      <c r="H12" s="7">
        <v>0</v>
      </c>
      <c r="I12" s="11"/>
      <c r="K12" s="7">
        <v>0</v>
      </c>
      <c r="L12" s="7">
        <v>0</v>
      </c>
      <c r="M12" s="7">
        <f>6879594+1025635+1585179</f>
        <v>9490408</v>
      </c>
    </row>
    <row r="13" spans="1:16" x14ac:dyDescent="0.2">
      <c r="A13" s="1"/>
      <c r="B13" s="1" t="s">
        <v>5</v>
      </c>
      <c r="C13" s="7">
        <v>0</v>
      </c>
      <c r="D13" s="7">
        <v>0</v>
      </c>
      <c r="E13" s="7">
        <f t="shared" ref="E13:E19" si="0">(C13+D13)/2</f>
        <v>0</v>
      </c>
      <c r="F13" s="1"/>
      <c r="G13" s="7">
        <f>226014+302102+52000</f>
        <v>580116</v>
      </c>
      <c r="H13" s="7">
        <f>226014+351717+50000</f>
        <v>627731</v>
      </c>
      <c r="I13" s="11"/>
      <c r="K13" s="7">
        <f>226014+302102+52000</f>
        <v>580116</v>
      </c>
      <c r="L13" s="7">
        <f>226014+302102+52000</f>
        <v>580116</v>
      </c>
      <c r="M13" s="7">
        <v>0</v>
      </c>
    </row>
    <row r="14" spans="1:16" x14ac:dyDescent="0.2">
      <c r="A14" s="1"/>
      <c r="B14" s="1" t="s">
        <v>12</v>
      </c>
      <c r="C14" s="7">
        <v>0</v>
      </c>
      <c r="D14" s="7">
        <v>0</v>
      </c>
      <c r="E14" s="7">
        <f t="shared" si="0"/>
        <v>0</v>
      </c>
      <c r="F14" s="1"/>
      <c r="G14" s="7">
        <v>151577</v>
      </c>
      <c r="H14" s="7">
        <f>23577+30000</f>
        <v>53577</v>
      </c>
      <c r="I14" s="11"/>
      <c r="K14" s="7">
        <f>50002+39726</f>
        <v>89728</v>
      </c>
      <c r="L14" s="7">
        <f>50002+39726</f>
        <v>89728</v>
      </c>
      <c r="M14" s="7">
        <f>6465+380543</f>
        <v>387008</v>
      </c>
    </row>
    <row r="15" spans="1:16" x14ac:dyDescent="0.2">
      <c r="A15" s="1"/>
      <c r="B15" s="1" t="s">
        <v>1</v>
      </c>
      <c r="C15" s="7">
        <v>0</v>
      </c>
      <c r="D15" s="7">
        <v>0</v>
      </c>
      <c r="E15" s="7">
        <f t="shared" si="0"/>
        <v>0</v>
      </c>
      <c r="F15" s="1"/>
      <c r="G15" s="7">
        <v>0</v>
      </c>
      <c r="H15" s="7">
        <v>0</v>
      </c>
      <c r="I15" s="11"/>
      <c r="K15" s="7">
        <v>0</v>
      </c>
      <c r="L15" s="7">
        <v>0</v>
      </c>
      <c r="M15" s="7">
        <v>0</v>
      </c>
    </row>
    <row r="16" spans="1:16" x14ac:dyDescent="0.2">
      <c r="A16" s="1"/>
      <c r="B16" s="1" t="s">
        <v>10</v>
      </c>
      <c r="C16" s="7">
        <v>0</v>
      </c>
      <c r="D16" s="7">
        <v>0</v>
      </c>
      <c r="E16" s="7">
        <f t="shared" si="0"/>
        <v>0</v>
      </c>
      <c r="F16" s="1"/>
      <c r="G16" s="7">
        <v>34350</v>
      </c>
      <c r="H16" s="7">
        <v>0</v>
      </c>
      <c r="I16" s="11"/>
      <c r="K16" s="7">
        <v>0</v>
      </c>
      <c r="L16" s="7">
        <v>0</v>
      </c>
      <c r="M16" s="7">
        <f>959.61+3536.96</f>
        <v>4496.57</v>
      </c>
    </row>
    <row r="17" spans="1:13" x14ac:dyDescent="0.2">
      <c r="A17" s="1"/>
      <c r="B17" s="9" t="s">
        <v>13</v>
      </c>
      <c r="C17" s="7">
        <v>0</v>
      </c>
      <c r="D17" s="7">
        <v>0</v>
      </c>
      <c r="E17" s="7">
        <f t="shared" si="0"/>
        <v>0</v>
      </c>
      <c r="F17" s="1"/>
      <c r="G17" s="7">
        <v>0</v>
      </c>
      <c r="H17" s="7">
        <v>0</v>
      </c>
      <c r="I17" s="11"/>
      <c r="K17" s="7">
        <v>0</v>
      </c>
      <c r="L17" s="7">
        <v>0</v>
      </c>
      <c r="M17" s="7">
        <v>0</v>
      </c>
    </row>
    <row r="18" spans="1:13" x14ac:dyDescent="0.2">
      <c r="A18" s="1"/>
      <c r="B18" s="1" t="s">
        <v>11</v>
      </c>
      <c r="C18" s="7">
        <v>0</v>
      </c>
      <c r="D18" s="7">
        <v>0</v>
      </c>
      <c r="E18" s="7">
        <f t="shared" si="0"/>
        <v>0</v>
      </c>
      <c r="F18" s="1"/>
      <c r="G18" s="7">
        <v>15702</v>
      </c>
      <c r="H18" s="7">
        <v>0</v>
      </c>
      <c r="I18" s="11"/>
      <c r="J18" s="2" t="s">
        <v>3</v>
      </c>
      <c r="K18" s="7">
        <v>0</v>
      </c>
      <c r="L18" s="7">
        <v>0</v>
      </c>
      <c r="M18" s="7">
        <v>19227.53</v>
      </c>
    </row>
    <row r="19" spans="1:13" x14ac:dyDescent="0.2">
      <c r="A19" s="1"/>
      <c r="B19" s="1" t="s">
        <v>2</v>
      </c>
      <c r="C19" s="7">
        <v>2182585</v>
      </c>
      <c r="D19" s="7">
        <v>2110248</v>
      </c>
      <c r="E19" s="7">
        <f t="shared" si="0"/>
        <v>2146416.5</v>
      </c>
      <c r="F19" s="1"/>
      <c r="G19" s="7">
        <v>791666</v>
      </c>
      <c r="H19" s="7">
        <v>419850</v>
      </c>
      <c r="I19" s="11"/>
      <c r="K19" s="7">
        <f>47678.6+140+241878+0.32</f>
        <v>289696.92</v>
      </c>
      <c r="L19" s="7">
        <f>47678.6+140+241878+0.32</f>
        <v>289696.92</v>
      </c>
      <c r="M19" s="37">
        <f>404570.26+1.35</f>
        <v>404571.61</v>
      </c>
    </row>
    <row r="20" spans="1:13" x14ac:dyDescent="0.2">
      <c r="A20" s="1"/>
      <c r="B20" s="1" t="s">
        <v>0</v>
      </c>
      <c r="C20" s="7">
        <f>SUM(C11:C19)</f>
        <v>13598377</v>
      </c>
      <c r="D20" s="7">
        <f>SUM(D11:D19)</f>
        <v>13889517</v>
      </c>
      <c r="E20" s="7">
        <f>SUM(E11:E19)</f>
        <v>13743947</v>
      </c>
      <c r="F20" s="1"/>
      <c r="G20" s="7">
        <f>SUM(G11:G19)</f>
        <v>11497909</v>
      </c>
      <c r="H20" s="7">
        <f>SUM(H12:H19)</f>
        <v>1101158</v>
      </c>
      <c r="I20" s="11"/>
      <c r="K20" s="11">
        <f>SUM(K12:K19)</f>
        <v>959540.91999999993</v>
      </c>
      <c r="L20" s="11">
        <f t="shared" ref="L20:M20" si="1">SUM(L12:L19)</f>
        <v>959540.91999999993</v>
      </c>
      <c r="M20" s="11">
        <f t="shared" si="1"/>
        <v>10305711.709999999</v>
      </c>
    </row>
    <row r="22" spans="1:13" x14ac:dyDescent="0.2">
      <c r="M22" s="13"/>
    </row>
    <row r="23" spans="1:13" x14ac:dyDescent="0.2">
      <c r="M23" s="35">
        <v>7256.42</v>
      </c>
    </row>
    <row r="24" spans="1:13" x14ac:dyDescent="0.2">
      <c r="M24" s="35">
        <v>93769.9</v>
      </c>
    </row>
    <row r="25" spans="1:13" x14ac:dyDescent="0.2">
      <c r="G25" s="13"/>
      <c r="M25" s="35">
        <v>35247.65</v>
      </c>
    </row>
    <row r="26" spans="1:13" x14ac:dyDescent="0.2">
      <c r="M26" s="35">
        <v>63075</v>
      </c>
    </row>
    <row r="27" spans="1:13" x14ac:dyDescent="0.2">
      <c r="M27" s="35">
        <v>12624.61</v>
      </c>
    </row>
    <row r="28" spans="1:13" x14ac:dyDescent="0.2">
      <c r="M28" s="35">
        <v>24156.49</v>
      </c>
    </row>
    <row r="29" spans="1:13" x14ac:dyDescent="0.2">
      <c r="M29" s="35">
        <v>20025.009999999998</v>
      </c>
    </row>
    <row r="30" spans="1:13" x14ac:dyDescent="0.2">
      <c r="M30" s="35">
        <v>7705.2</v>
      </c>
    </row>
    <row r="31" spans="1:13" x14ac:dyDescent="0.2">
      <c r="M31" s="35">
        <v>2550.4699999999998</v>
      </c>
    </row>
    <row r="32" spans="1:13" x14ac:dyDescent="0.2">
      <c r="M32" s="35">
        <v>31269.75</v>
      </c>
    </row>
    <row r="33" spans="13:13" x14ac:dyDescent="0.2">
      <c r="M33" s="35">
        <v>20055</v>
      </c>
    </row>
    <row r="34" spans="13:13" x14ac:dyDescent="0.2">
      <c r="M34" s="35">
        <v>69006.649999999994</v>
      </c>
    </row>
    <row r="35" spans="13:13" x14ac:dyDescent="0.2">
      <c r="M35" s="35">
        <v>5628.66</v>
      </c>
    </row>
    <row r="36" spans="13:13" x14ac:dyDescent="0.2">
      <c r="M36" s="36">
        <v>11899.45</v>
      </c>
    </row>
    <row r="37" spans="13:13" x14ac:dyDescent="0.2">
      <c r="M37" s="38">
        <f>SUM(M23:M36)</f>
        <v>404270.26</v>
      </c>
    </row>
    <row r="38" spans="13:13" x14ac:dyDescent="0.2">
      <c r="M38" s="39">
        <f>M19-M37</f>
        <v>301.34999999997672</v>
      </c>
    </row>
  </sheetData>
  <phoneticPr fontId="6" type="noConversion"/>
  <pageMargins left="0.7" right="0.7" top="0.75" bottom="0.75" header="0.3" footer="0.3"/>
  <pageSetup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EFB27-F515-4370-A8A4-6959A39A13BB}">
  <dimension ref="A1:D24"/>
  <sheetViews>
    <sheetView workbookViewId="0">
      <selection activeCell="B12" sqref="B12"/>
    </sheetView>
  </sheetViews>
  <sheetFormatPr defaultRowHeight="12.75" x14ac:dyDescent="0.2"/>
  <cols>
    <col min="1" max="1" width="12.7109375" customWidth="1"/>
    <col min="2" max="4" width="15" bestFit="1" customWidth="1"/>
  </cols>
  <sheetData>
    <row r="1" spans="1:4" x14ac:dyDescent="0.2">
      <c r="A1" s="3" t="s">
        <v>45</v>
      </c>
    </row>
    <row r="2" spans="1:4" ht="15.75" x14ac:dyDescent="0.2">
      <c r="A2" s="6" t="s">
        <v>8</v>
      </c>
    </row>
    <row r="3" spans="1:4" ht="15.75" x14ac:dyDescent="0.2">
      <c r="A3" s="6" t="s">
        <v>4</v>
      </c>
    </row>
    <row r="5" spans="1:4" x14ac:dyDescent="0.2">
      <c r="A5" t="s">
        <v>40</v>
      </c>
      <c r="B5" t="s">
        <v>42</v>
      </c>
      <c r="C5" t="s">
        <v>43</v>
      </c>
      <c r="D5" t="s">
        <v>44</v>
      </c>
    </row>
    <row r="6" spans="1:4" x14ac:dyDescent="0.2">
      <c r="A6" t="s">
        <v>41</v>
      </c>
      <c r="B6" s="13">
        <f>Carson!E20</f>
        <v>1865859.5</v>
      </c>
      <c r="C6" s="13">
        <f>Carson!G20</f>
        <v>1867637</v>
      </c>
      <c r="D6" s="13" t="e">
        <f>Carson!#REF!</f>
        <v>#REF!</v>
      </c>
    </row>
    <row r="7" spans="1:4" x14ac:dyDescent="0.2">
      <c r="A7" t="s">
        <v>20</v>
      </c>
      <c r="B7" s="13">
        <f>Churchill!E20</f>
        <v>345719.86</v>
      </c>
      <c r="C7" s="13">
        <f>Churchill!G20</f>
        <v>918044</v>
      </c>
      <c r="D7" s="13">
        <f>Churchill!H20</f>
        <v>572324.14</v>
      </c>
    </row>
    <row r="8" spans="1:4" x14ac:dyDescent="0.2">
      <c r="A8" t="s">
        <v>21</v>
      </c>
      <c r="B8" s="13"/>
      <c r="C8" s="13"/>
      <c r="D8" s="13"/>
    </row>
    <row r="9" spans="1:4" x14ac:dyDescent="0.2">
      <c r="A9" t="s">
        <v>22</v>
      </c>
      <c r="B9" s="13">
        <f>Douglas!E20</f>
        <v>875154.78000000014</v>
      </c>
      <c r="C9" s="13">
        <f>Douglas!G20</f>
        <v>1624000</v>
      </c>
      <c r="D9" s="13">
        <f>Douglas!H20</f>
        <v>748845.21999999986</v>
      </c>
    </row>
    <row r="10" spans="1:4" x14ac:dyDescent="0.2">
      <c r="A10" t="s">
        <v>23</v>
      </c>
      <c r="B10" s="13">
        <f>Elko!E20</f>
        <v>1862165</v>
      </c>
      <c r="C10" s="13">
        <f>Elko!G20</f>
        <v>2663766</v>
      </c>
      <c r="D10" s="13">
        <f>Elko!H20</f>
        <v>801601</v>
      </c>
    </row>
    <row r="11" spans="1:4" x14ac:dyDescent="0.2">
      <c r="A11" t="s">
        <v>24</v>
      </c>
      <c r="B11" s="13">
        <f>Esmeralda!E20</f>
        <v>90606.815000000002</v>
      </c>
      <c r="C11" s="13">
        <f>Esmeralda!G20</f>
        <v>82000</v>
      </c>
      <c r="D11" s="13">
        <f>Esmeralda!H20</f>
        <v>-8606.8150000000023</v>
      </c>
    </row>
    <row r="12" spans="1:4" x14ac:dyDescent="0.2">
      <c r="A12" t="s">
        <v>25</v>
      </c>
      <c r="B12" s="13">
        <f>Eureka!E20</f>
        <v>40000</v>
      </c>
      <c r="C12" s="13">
        <f>Eureka!G20</f>
        <v>110000</v>
      </c>
      <c r="D12" s="13">
        <f>Eureka!H20</f>
        <v>70000</v>
      </c>
    </row>
    <row r="13" spans="1:4" x14ac:dyDescent="0.2">
      <c r="A13" t="s">
        <v>26</v>
      </c>
      <c r="B13" s="13">
        <f>Humboldt!E20</f>
        <v>474345</v>
      </c>
      <c r="C13" s="13">
        <f>Humboldt!G20</f>
        <v>652130</v>
      </c>
      <c r="D13" s="13">
        <f>Humboldt!H20</f>
        <v>177785</v>
      </c>
    </row>
    <row r="14" spans="1:4" x14ac:dyDescent="0.2">
      <c r="A14" t="s">
        <v>27</v>
      </c>
      <c r="B14" s="13">
        <f>Lander!E20</f>
        <v>99581.959999999992</v>
      </c>
      <c r="C14" s="13">
        <f>Lander!G20</f>
        <v>217099</v>
      </c>
      <c r="D14" s="13">
        <f>Lander!H20</f>
        <v>117517.04000000001</v>
      </c>
    </row>
    <row r="15" spans="1:4" x14ac:dyDescent="0.2">
      <c r="A15" t="s">
        <v>28</v>
      </c>
      <c r="B15" s="13">
        <f>Lincoln!E20</f>
        <v>179420</v>
      </c>
      <c r="C15" s="13">
        <f>Lincoln!G20</f>
        <v>205000</v>
      </c>
      <c r="D15" s="13">
        <f>Lincoln!H20</f>
        <v>25580</v>
      </c>
    </row>
    <row r="16" spans="1:4" x14ac:dyDescent="0.2">
      <c r="A16" t="s">
        <v>29</v>
      </c>
      <c r="B16" s="13">
        <f>Lyon!E20</f>
        <v>818933.08</v>
      </c>
      <c r="C16" s="13">
        <f>Lyon!G20</f>
        <v>1667500</v>
      </c>
      <c r="D16" s="13">
        <f>Lyon!H20</f>
        <v>848566.92</v>
      </c>
    </row>
    <row r="17" spans="1:4" x14ac:dyDescent="0.2">
      <c r="A17" t="s">
        <v>30</v>
      </c>
      <c r="B17" s="13">
        <f>Mineral!E20</f>
        <v>91813</v>
      </c>
      <c r="C17" s="13">
        <f>Mineral!G20</f>
        <v>182000</v>
      </c>
      <c r="D17" s="13">
        <f>Mineral!H20</f>
        <v>90187</v>
      </c>
    </row>
    <row r="18" spans="1:4" x14ac:dyDescent="0.2">
      <c r="A18" t="s">
        <v>31</v>
      </c>
      <c r="B18" s="13">
        <f>Nye!E20</f>
        <v>828596.54499999993</v>
      </c>
      <c r="C18" s="13">
        <f>Nye!G20</f>
        <v>955000</v>
      </c>
      <c r="D18" s="13">
        <f>Nye!H20</f>
        <v>126403.45500000007</v>
      </c>
    </row>
    <row r="19" spans="1:4" x14ac:dyDescent="0.2">
      <c r="A19" t="s">
        <v>32</v>
      </c>
      <c r="B19" s="13">
        <f>Pershing!E20</f>
        <v>246998.505</v>
      </c>
      <c r="C19" s="13">
        <f>Pershing!G20</f>
        <v>271422</v>
      </c>
      <c r="D19" s="13">
        <f>Pershing!H20</f>
        <v>24423.494999999995</v>
      </c>
    </row>
    <row r="20" spans="1:4" x14ac:dyDescent="0.2">
      <c r="A20" t="s">
        <v>33</v>
      </c>
      <c r="B20" s="13">
        <f>Storey!E20</f>
        <v>89545.514999999985</v>
      </c>
      <c r="C20" s="13">
        <f>Storey!G20</f>
        <v>142442</v>
      </c>
      <c r="D20" s="13">
        <f>Storey!H20</f>
        <v>52896.485000000015</v>
      </c>
    </row>
    <row r="21" spans="1:4" x14ac:dyDescent="0.2">
      <c r="A21" t="s">
        <v>34</v>
      </c>
      <c r="B21" s="13"/>
      <c r="C21" s="13"/>
      <c r="D21" s="13"/>
    </row>
    <row r="22" spans="1:4" x14ac:dyDescent="0.2">
      <c r="A22" t="s">
        <v>35</v>
      </c>
      <c r="B22" s="13">
        <f>'White Pine'!E20</f>
        <v>452400</v>
      </c>
      <c r="C22" s="13">
        <f>'White Pine'!G20</f>
        <v>643290</v>
      </c>
      <c r="D22" s="13">
        <f>'White Pine'!H20</f>
        <v>190890</v>
      </c>
    </row>
    <row r="23" spans="1:4" ht="13.5" thickBot="1" x14ac:dyDescent="0.25">
      <c r="D23" s="14" t="e">
        <f>SUM(D6:D22)</f>
        <v>#REF!</v>
      </c>
    </row>
    <row r="24" spans="1:4" ht="13.5" thickTop="1" x14ac:dyDescent="0.2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331C4-D7F3-4CE0-923B-0B616E80C224}">
  <sheetPr>
    <tabColor rgb="FF00B050"/>
    <pageSetUpPr fitToPage="1"/>
  </sheetPr>
  <dimension ref="A1:O20"/>
  <sheetViews>
    <sheetView zoomScale="90" zoomScaleNormal="90" workbookViewId="0">
      <selection activeCell="K41" sqref="K41"/>
    </sheetView>
  </sheetViews>
  <sheetFormatPr defaultRowHeight="12.75" x14ac:dyDescent="0.2"/>
  <cols>
    <col min="1" max="1" width="17.28515625" customWidth="1"/>
    <col min="2" max="2" width="19.28515625" bestFit="1" customWidth="1"/>
    <col min="3" max="3" width="19.140625" customWidth="1"/>
    <col min="4" max="4" width="17.7109375" customWidth="1"/>
    <col min="5" max="5" width="13.28515625" bestFit="1" customWidth="1"/>
    <col min="6" max="6" width="5.7109375" customWidth="1"/>
    <col min="7" max="15" width="14.7109375" customWidth="1"/>
  </cols>
  <sheetData>
    <row r="1" spans="1:15" x14ac:dyDescent="0.2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" customHeight="1" x14ac:dyDescent="0.2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customHeight="1" x14ac:dyDescent="0.2">
      <c r="A4" s="1"/>
      <c r="B4" s="1"/>
      <c r="C4" s="1"/>
      <c r="D4" s="1"/>
      <c r="E4" s="1"/>
      <c r="F4" s="1"/>
      <c r="G4" s="1"/>
      <c r="H4" s="1"/>
    </row>
    <row r="5" spans="1:15" x14ac:dyDescent="0.2">
      <c r="A5" s="5" t="s">
        <v>35</v>
      </c>
      <c r="B5" s="1"/>
      <c r="C5" s="1"/>
      <c r="D5" s="1"/>
      <c r="E5" s="1"/>
      <c r="F5" s="1"/>
      <c r="G5" s="1"/>
      <c r="H5" s="1"/>
    </row>
    <row r="6" spans="1:15" x14ac:dyDescent="0.2">
      <c r="A6" s="1"/>
      <c r="B6" s="1"/>
      <c r="C6" s="1"/>
      <c r="D6" s="1"/>
      <c r="E6" s="1"/>
      <c r="F6" s="1"/>
      <c r="G6" s="1"/>
      <c r="H6" s="1"/>
    </row>
    <row r="7" spans="1:15" x14ac:dyDescent="0.2">
      <c r="A7" s="5" t="s">
        <v>16</v>
      </c>
      <c r="B7" s="1"/>
      <c r="C7" s="1"/>
      <c r="D7" s="1"/>
      <c r="E7" s="1"/>
      <c r="F7" s="1"/>
      <c r="G7" s="31" t="s">
        <v>54</v>
      </c>
      <c r="H7" s="1"/>
      <c r="J7" t="s">
        <v>69</v>
      </c>
    </row>
    <row r="8" spans="1:15" x14ac:dyDescent="0.2">
      <c r="A8" s="5"/>
      <c r="B8" s="1" t="s">
        <v>7</v>
      </c>
      <c r="C8" s="8"/>
      <c r="D8" s="1"/>
      <c r="E8" s="1"/>
      <c r="F8" s="1"/>
      <c r="G8" s="12">
        <v>44743</v>
      </c>
      <c r="H8" s="1"/>
      <c r="J8" s="32">
        <v>44013</v>
      </c>
    </row>
    <row r="9" spans="1:15" x14ac:dyDescent="0.2">
      <c r="A9" s="5"/>
      <c r="B9" s="1" t="s">
        <v>6</v>
      </c>
      <c r="C9" s="10">
        <v>2018</v>
      </c>
      <c r="D9" s="1">
        <v>2019</v>
      </c>
      <c r="E9" s="1" t="s">
        <v>18</v>
      </c>
      <c r="F9" s="1"/>
      <c r="G9" s="12">
        <v>45107</v>
      </c>
      <c r="H9" s="1" t="s">
        <v>19</v>
      </c>
      <c r="J9" s="32">
        <v>44377</v>
      </c>
    </row>
    <row r="10" spans="1:15" x14ac:dyDescent="0.2">
      <c r="A10" s="1"/>
      <c r="B10" s="1"/>
      <c r="C10" s="1"/>
      <c r="D10" s="1"/>
      <c r="E10" s="1"/>
      <c r="F10" s="1"/>
      <c r="G10" s="1"/>
      <c r="H10" s="1"/>
    </row>
    <row r="11" spans="1:15" x14ac:dyDescent="0.2">
      <c r="A11" s="5" t="s">
        <v>17</v>
      </c>
      <c r="B11" s="1"/>
      <c r="C11" s="1"/>
      <c r="D11" s="1"/>
      <c r="E11" s="1"/>
      <c r="F11" s="1"/>
      <c r="G11" s="1"/>
      <c r="H11" s="1"/>
    </row>
    <row r="12" spans="1:15" x14ac:dyDescent="0.2">
      <c r="A12" s="1"/>
      <c r="B12" s="1" t="s">
        <v>9</v>
      </c>
      <c r="C12" s="7">
        <v>0</v>
      </c>
      <c r="D12" s="7">
        <v>0</v>
      </c>
      <c r="E12" s="7">
        <f>(C12+D12)/2</f>
        <v>0</v>
      </c>
      <c r="F12" s="1"/>
      <c r="G12" s="7">
        <v>0</v>
      </c>
      <c r="H12" s="11">
        <f>G12-E12</f>
        <v>0</v>
      </c>
      <c r="J12" s="11">
        <v>0</v>
      </c>
    </row>
    <row r="13" spans="1:15" x14ac:dyDescent="0.2">
      <c r="A13" s="1"/>
      <c r="B13" s="1" t="s">
        <v>5</v>
      </c>
      <c r="C13" s="7">
        <v>435000</v>
      </c>
      <c r="D13" s="7">
        <v>469800</v>
      </c>
      <c r="E13" s="7">
        <f t="shared" ref="E13:E19" si="0">(C13+D13)/2</f>
        <v>452400</v>
      </c>
      <c r="F13" s="1"/>
      <c r="G13" s="7">
        <f>553290+35000</f>
        <v>588290</v>
      </c>
      <c r="H13" s="11">
        <f t="shared" ref="H13:H20" si="1">G13-E13</f>
        <v>135890</v>
      </c>
      <c r="J13" s="11">
        <f>469800+73612</f>
        <v>543412</v>
      </c>
    </row>
    <row r="14" spans="1:15" x14ac:dyDescent="0.2">
      <c r="A14" s="1"/>
      <c r="B14" s="1" t="s">
        <v>12</v>
      </c>
      <c r="C14" s="7">
        <v>0</v>
      </c>
      <c r="D14" s="7">
        <v>0</v>
      </c>
      <c r="E14" s="7">
        <f t="shared" si="0"/>
        <v>0</v>
      </c>
      <c r="F14" s="1"/>
      <c r="G14" s="7">
        <v>55000</v>
      </c>
      <c r="H14" s="11">
        <f t="shared" si="1"/>
        <v>55000</v>
      </c>
      <c r="J14" s="11">
        <f>18240+69588</f>
        <v>87828</v>
      </c>
    </row>
    <row r="15" spans="1:15" x14ac:dyDescent="0.2">
      <c r="A15" s="1"/>
      <c r="B15" s="1" t="s">
        <v>1</v>
      </c>
      <c r="C15" s="7">
        <v>0</v>
      </c>
      <c r="D15" s="7">
        <v>0</v>
      </c>
      <c r="E15" s="7">
        <f t="shared" si="0"/>
        <v>0</v>
      </c>
      <c r="F15" s="1"/>
      <c r="G15" s="7">
        <v>0</v>
      </c>
      <c r="H15" s="11">
        <f t="shared" si="1"/>
        <v>0</v>
      </c>
      <c r="J15" s="11">
        <v>0</v>
      </c>
    </row>
    <row r="16" spans="1:15" x14ac:dyDescent="0.2">
      <c r="A16" s="1"/>
      <c r="B16" s="1" t="s">
        <v>10</v>
      </c>
      <c r="C16" s="7">
        <v>0</v>
      </c>
      <c r="D16" s="7">
        <v>0</v>
      </c>
      <c r="E16" s="7">
        <f t="shared" si="0"/>
        <v>0</v>
      </c>
      <c r="F16" s="1"/>
      <c r="G16" s="7">
        <v>0</v>
      </c>
      <c r="H16" s="11">
        <f t="shared" si="1"/>
        <v>0</v>
      </c>
      <c r="J16" s="11">
        <v>0</v>
      </c>
    </row>
    <row r="17" spans="1:10" x14ac:dyDescent="0.2">
      <c r="A17" s="1"/>
      <c r="B17" s="9" t="s">
        <v>13</v>
      </c>
      <c r="C17" s="7">
        <v>0</v>
      </c>
      <c r="D17" s="7">
        <v>0</v>
      </c>
      <c r="E17" s="7">
        <f t="shared" si="0"/>
        <v>0</v>
      </c>
      <c r="F17" s="1"/>
      <c r="G17" s="7">
        <v>0</v>
      </c>
      <c r="H17" s="11">
        <f t="shared" si="1"/>
        <v>0</v>
      </c>
      <c r="J17" s="11">
        <v>0</v>
      </c>
    </row>
    <row r="18" spans="1:10" x14ac:dyDescent="0.2">
      <c r="A18" s="1"/>
      <c r="B18" s="1" t="s">
        <v>11</v>
      </c>
      <c r="C18" s="7">
        <v>0</v>
      </c>
      <c r="D18" s="7">
        <v>0</v>
      </c>
      <c r="E18" s="7">
        <f t="shared" si="0"/>
        <v>0</v>
      </c>
      <c r="F18" s="1"/>
      <c r="G18" s="7">
        <v>0</v>
      </c>
      <c r="H18" s="11">
        <f t="shared" si="1"/>
        <v>0</v>
      </c>
      <c r="I18" s="2" t="s">
        <v>3</v>
      </c>
      <c r="J18" s="11">
        <v>0</v>
      </c>
    </row>
    <row r="19" spans="1:10" x14ac:dyDescent="0.2">
      <c r="A19" s="1"/>
      <c r="B19" s="1" t="s">
        <v>2</v>
      </c>
      <c r="C19" s="7">
        <v>0</v>
      </c>
      <c r="D19" s="7">
        <v>0</v>
      </c>
      <c r="E19" s="7">
        <f t="shared" si="0"/>
        <v>0</v>
      </c>
      <c r="F19" s="1"/>
      <c r="G19" s="7">
        <v>0</v>
      </c>
      <c r="H19" s="11">
        <f t="shared" si="1"/>
        <v>0</v>
      </c>
      <c r="J19" s="11">
        <v>0</v>
      </c>
    </row>
    <row r="20" spans="1:10" x14ac:dyDescent="0.2">
      <c r="A20" s="1"/>
      <c r="B20" s="1" t="s">
        <v>0</v>
      </c>
      <c r="C20" s="7">
        <f>SUM(C11:C19)</f>
        <v>435000</v>
      </c>
      <c r="D20" s="7">
        <f>SUM(D11:D19)</f>
        <v>469800</v>
      </c>
      <c r="E20" s="7">
        <f>SUM(E11:E19)</f>
        <v>452400</v>
      </c>
      <c r="F20" s="1"/>
      <c r="G20" s="7">
        <f>SUM(G11:G19)</f>
        <v>643290</v>
      </c>
      <c r="H20" s="11">
        <f t="shared" si="1"/>
        <v>190890</v>
      </c>
      <c r="J20" s="11">
        <f>SUM(J12:J19)</f>
        <v>631240</v>
      </c>
    </row>
  </sheetData>
  <pageMargins left="0.7" right="0.7" top="0.75" bottom="0.75" header="0.3" footer="0.3"/>
  <pageSetup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5F128-4627-44F9-B226-5BF10D326053}">
  <dimension ref="A1:D24"/>
  <sheetViews>
    <sheetView workbookViewId="0">
      <selection activeCell="D20" sqref="D20"/>
    </sheetView>
  </sheetViews>
  <sheetFormatPr defaultRowHeight="12.75" x14ac:dyDescent="0.2"/>
  <cols>
    <col min="1" max="1" width="12.7109375" customWidth="1"/>
    <col min="2" max="4" width="15" bestFit="1" customWidth="1"/>
  </cols>
  <sheetData>
    <row r="1" spans="1:4" x14ac:dyDescent="0.2">
      <c r="A1" s="3" t="s">
        <v>45</v>
      </c>
    </row>
    <row r="2" spans="1:4" ht="15.75" x14ac:dyDescent="0.2">
      <c r="A2" s="6" t="s">
        <v>8</v>
      </c>
    </row>
    <row r="3" spans="1:4" ht="15.75" x14ac:dyDescent="0.2">
      <c r="A3" s="6" t="s">
        <v>4</v>
      </c>
    </row>
    <row r="5" spans="1:4" x14ac:dyDescent="0.2">
      <c r="A5" t="s">
        <v>40</v>
      </c>
      <c r="B5" t="s">
        <v>42</v>
      </c>
      <c r="C5" t="s">
        <v>43</v>
      </c>
      <c r="D5" t="s">
        <v>44</v>
      </c>
    </row>
    <row r="6" spans="1:4" x14ac:dyDescent="0.2">
      <c r="A6" t="s">
        <v>41</v>
      </c>
      <c r="B6" s="16"/>
      <c r="C6" s="13"/>
      <c r="D6" s="13"/>
    </row>
    <row r="7" spans="1:4" x14ac:dyDescent="0.2">
      <c r="A7" t="s">
        <v>20</v>
      </c>
      <c r="B7" s="16">
        <f>Churchill!E20</f>
        <v>345719.86</v>
      </c>
      <c r="C7" s="13">
        <f>Churchill!G20</f>
        <v>918044</v>
      </c>
      <c r="D7" s="13">
        <f>Churchill!H20</f>
        <v>572324.14</v>
      </c>
    </row>
    <row r="8" spans="1:4" x14ac:dyDescent="0.2">
      <c r="A8" t="s">
        <v>21</v>
      </c>
      <c r="B8" s="16"/>
      <c r="C8" s="13"/>
      <c r="D8" s="13"/>
    </row>
    <row r="9" spans="1:4" x14ac:dyDescent="0.2">
      <c r="A9" t="s">
        <v>22</v>
      </c>
      <c r="B9" s="16">
        <f>Douglas!E20</f>
        <v>875154.78000000014</v>
      </c>
      <c r="C9" s="13">
        <f>Douglas!G20</f>
        <v>1624000</v>
      </c>
      <c r="D9" s="13">
        <f>Douglas!H20</f>
        <v>748845.21999999986</v>
      </c>
    </row>
    <row r="10" spans="1:4" x14ac:dyDescent="0.2">
      <c r="A10" t="s">
        <v>23</v>
      </c>
      <c r="B10" s="16"/>
      <c r="C10" s="13"/>
      <c r="D10" s="13"/>
    </row>
    <row r="11" spans="1:4" x14ac:dyDescent="0.2">
      <c r="A11" t="s">
        <v>24</v>
      </c>
      <c r="B11" s="16">
        <f>Esmeralda!E20</f>
        <v>90606.815000000002</v>
      </c>
      <c r="C11" s="13">
        <f>Esmeralda!G20</f>
        <v>82000</v>
      </c>
      <c r="D11" s="13">
        <f>Esmeralda!H20</f>
        <v>-8606.8150000000023</v>
      </c>
    </row>
    <row r="12" spans="1:4" x14ac:dyDescent="0.2">
      <c r="A12" t="s">
        <v>25</v>
      </c>
      <c r="B12" s="16">
        <f>Eureka!E20</f>
        <v>40000</v>
      </c>
      <c r="C12" s="13">
        <f>Eureka!G20</f>
        <v>110000</v>
      </c>
      <c r="D12" s="13">
        <f>Eureka!H20</f>
        <v>70000</v>
      </c>
    </row>
    <row r="13" spans="1:4" x14ac:dyDescent="0.2">
      <c r="A13" t="s">
        <v>26</v>
      </c>
      <c r="B13" s="16"/>
      <c r="C13" s="13"/>
      <c r="D13" s="13"/>
    </row>
    <row r="14" spans="1:4" x14ac:dyDescent="0.2">
      <c r="A14" t="s">
        <v>27</v>
      </c>
      <c r="B14" s="16">
        <f>Lander!E20</f>
        <v>99581.959999999992</v>
      </c>
      <c r="C14" s="13">
        <f>Lander!G20</f>
        <v>217099</v>
      </c>
      <c r="D14" s="13">
        <f>Lander!H20</f>
        <v>117517.04000000001</v>
      </c>
    </row>
    <row r="15" spans="1:4" x14ac:dyDescent="0.2">
      <c r="A15" t="s">
        <v>28</v>
      </c>
      <c r="B15" s="16">
        <f>Lincoln!E20</f>
        <v>179420</v>
      </c>
      <c r="C15" s="13">
        <f>Lincoln!G20</f>
        <v>205000</v>
      </c>
      <c r="D15" s="13">
        <f>Lincoln!H20</f>
        <v>25580</v>
      </c>
    </row>
    <row r="16" spans="1:4" x14ac:dyDescent="0.2">
      <c r="A16" t="s">
        <v>29</v>
      </c>
      <c r="B16" s="16">
        <f>Lyon!E20</f>
        <v>818933.08</v>
      </c>
      <c r="C16" s="13">
        <f>Lyon!G20</f>
        <v>1667500</v>
      </c>
      <c r="D16" s="13">
        <f>Lyon!H20</f>
        <v>848566.92</v>
      </c>
    </row>
    <row r="17" spans="1:4" x14ac:dyDescent="0.2">
      <c r="A17" t="s">
        <v>30</v>
      </c>
      <c r="B17" s="16">
        <f>Mineral!E20</f>
        <v>91813</v>
      </c>
      <c r="C17" s="13">
        <f>Mineral!G20</f>
        <v>182000</v>
      </c>
      <c r="D17" s="13">
        <f>Mineral!H20</f>
        <v>90187</v>
      </c>
    </row>
    <row r="18" spans="1:4" x14ac:dyDescent="0.2">
      <c r="A18" t="s">
        <v>31</v>
      </c>
      <c r="B18" s="16">
        <f>Nye!E20</f>
        <v>828596.54499999993</v>
      </c>
      <c r="C18" s="13">
        <f>Nye!G20</f>
        <v>955000</v>
      </c>
      <c r="D18" s="13">
        <f>Nye!H20</f>
        <v>126403.45500000007</v>
      </c>
    </row>
    <row r="19" spans="1:4" x14ac:dyDescent="0.2">
      <c r="A19" t="s">
        <v>32</v>
      </c>
      <c r="B19" s="16"/>
      <c r="C19" s="13"/>
      <c r="D19" s="13"/>
    </row>
    <row r="20" spans="1:4" x14ac:dyDescent="0.2">
      <c r="A20" t="s">
        <v>33</v>
      </c>
      <c r="B20" s="16"/>
      <c r="C20" s="13"/>
      <c r="D20" s="13"/>
    </row>
    <row r="21" spans="1:4" x14ac:dyDescent="0.2">
      <c r="A21" t="s">
        <v>34</v>
      </c>
      <c r="B21" s="16"/>
      <c r="C21" s="13"/>
      <c r="D21" s="13"/>
    </row>
    <row r="22" spans="1:4" x14ac:dyDescent="0.2">
      <c r="A22" t="s">
        <v>35</v>
      </c>
      <c r="B22" s="16">
        <f>'White Pine'!E20</f>
        <v>452400</v>
      </c>
      <c r="C22" s="13">
        <f>'White Pine'!G20</f>
        <v>643290</v>
      </c>
      <c r="D22" s="13">
        <f>'White Pine'!H20</f>
        <v>190890</v>
      </c>
    </row>
    <row r="23" spans="1:4" ht="13.5" thickBot="1" x14ac:dyDescent="0.25">
      <c r="D23" s="14">
        <f>SUM(D6:D22)</f>
        <v>2781706.96</v>
      </c>
    </row>
    <row r="24" spans="1:4" ht="13.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4286-C937-4649-BA0E-E306F7E27223}">
  <sheetPr>
    <tabColor rgb="FF00B050"/>
    <pageSetUpPr fitToPage="1"/>
  </sheetPr>
  <dimension ref="A1:N22"/>
  <sheetViews>
    <sheetView zoomScale="90" zoomScaleNormal="90" workbookViewId="0">
      <selection activeCell="G47" sqref="G47"/>
    </sheetView>
  </sheetViews>
  <sheetFormatPr defaultRowHeight="12.75" x14ac:dyDescent="0.2"/>
  <cols>
    <col min="1" max="1" width="17.28515625" customWidth="1"/>
    <col min="2" max="2" width="19.28515625" customWidth="1"/>
    <col min="3" max="3" width="19.140625" customWidth="1"/>
    <col min="4" max="5" width="18.28515625" customWidth="1"/>
    <col min="6" max="6" width="5.7109375" customWidth="1"/>
    <col min="7" max="14" width="14.7109375" customWidth="1"/>
  </cols>
  <sheetData>
    <row r="1" spans="1:14" x14ac:dyDescent="0.2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5" customHeight="1" x14ac:dyDescent="0.2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" customHeight="1" x14ac:dyDescent="0.2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7.25" customHeight="1" x14ac:dyDescent="0.2">
      <c r="A4" s="1"/>
      <c r="B4" s="1"/>
      <c r="C4" s="1"/>
      <c r="D4" s="1"/>
      <c r="E4" s="1"/>
      <c r="F4" s="1"/>
      <c r="G4" s="1"/>
    </row>
    <row r="5" spans="1:14" x14ac:dyDescent="0.2">
      <c r="A5" s="5" t="s">
        <v>15</v>
      </c>
      <c r="B5" s="1"/>
      <c r="C5" s="1"/>
      <c r="D5" s="1"/>
      <c r="E5" s="1"/>
      <c r="F5" s="1"/>
      <c r="G5" s="1"/>
    </row>
    <row r="6" spans="1:14" x14ac:dyDescent="0.2">
      <c r="A6" s="1"/>
      <c r="B6" s="1"/>
      <c r="C6" s="1"/>
      <c r="D6" s="1"/>
      <c r="E6" s="1"/>
      <c r="F6" s="1"/>
      <c r="G6" s="1"/>
    </row>
    <row r="7" spans="1:14" x14ac:dyDescent="0.2">
      <c r="A7" s="5" t="s">
        <v>16</v>
      </c>
      <c r="B7" s="1"/>
      <c r="C7" s="1"/>
      <c r="D7" s="1"/>
      <c r="E7" s="1"/>
      <c r="F7" s="1"/>
      <c r="G7" s="31" t="s">
        <v>54</v>
      </c>
      <c r="I7" t="s">
        <v>69</v>
      </c>
    </row>
    <row r="8" spans="1:14" x14ac:dyDescent="0.2">
      <c r="A8" s="5"/>
      <c r="B8" s="1" t="s">
        <v>7</v>
      </c>
      <c r="C8" s="8"/>
      <c r="D8" s="1"/>
      <c r="E8" s="1"/>
      <c r="F8" s="1"/>
      <c r="G8" s="12">
        <v>44743</v>
      </c>
      <c r="I8" s="32">
        <v>44013</v>
      </c>
    </row>
    <row r="9" spans="1:14" x14ac:dyDescent="0.2">
      <c r="A9" s="5"/>
      <c r="B9" s="1" t="s">
        <v>6</v>
      </c>
      <c r="C9" s="10">
        <v>2018</v>
      </c>
      <c r="D9" s="1">
        <v>2019</v>
      </c>
      <c r="E9" s="1" t="s">
        <v>18</v>
      </c>
      <c r="F9" s="1"/>
      <c r="G9" s="12">
        <v>45107</v>
      </c>
      <c r="I9" s="32">
        <v>44377</v>
      </c>
    </row>
    <row r="10" spans="1:14" x14ac:dyDescent="0.2">
      <c r="A10" s="1"/>
      <c r="B10" s="1"/>
      <c r="C10" s="1"/>
      <c r="D10" s="1"/>
      <c r="E10" s="1"/>
      <c r="F10" s="1"/>
      <c r="G10" s="1"/>
      <c r="H10" s="1"/>
    </row>
    <row r="11" spans="1:14" x14ac:dyDescent="0.2">
      <c r="A11" s="5" t="s">
        <v>17</v>
      </c>
      <c r="B11" s="1"/>
      <c r="C11" s="1"/>
      <c r="D11" s="1"/>
      <c r="E11" s="1"/>
      <c r="F11" s="1"/>
      <c r="G11" s="1"/>
    </row>
    <row r="12" spans="1:14" x14ac:dyDescent="0.2">
      <c r="A12" s="1"/>
      <c r="B12" s="1" t="s">
        <v>9</v>
      </c>
      <c r="C12" s="7">
        <v>0</v>
      </c>
      <c r="D12" s="7">
        <v>0</v>
      </c>
      <c r="E12" s="7">
        <f>(C12+D12)/2</f>
        <v>0</v>
      </c>
      <c r="F12" s="1"/>
      <c r="G12" s="7">
        <v>0</v>
      </c>
      <c r="I12" s="13">
        <v>0</v>
      </c>
    </row>
    <row r="13" spans="1:14" x14ac:dyDescent="0.2">
      <c r="A13" s="1"/>
      <c r="B13" s="1" t="s">
        <v>5</v>
      </c>
      <c r="C13" s="7">
        <v>1462441</v>
      </c>
      <c r="D13" s="7">
        <v>1599707</v>
      </c>
      <c r="E13" s="7">
        <f t="shared" ref="E13:E19" si="0">(C13+D13)/2</f>
        <v>1531074</v>
      </c>
      <c r="F13" s="1"/>
      <c r="G13" s="7">
        <v>1773287</v>
      </c>
      <c r="I13" s="13">
        <f>1528585+8780</f>
        <v>1537365</v>
      </c>
    </row>
    <row r="14" spans="1:14" x14ac:dyDescent="0.2">
      <c r="A14" s="1"/>
      <c r="B14" s="1" t="s">
        <v>12</v>
      </c>
      <c r="C14" s="7">
        <v>212212</v>
      </c>
      <c r="D14" s="7">
        <v>180893</v>
      </c>
      <c r="E14" s="7">
        <f t="shared" si="0"/>
        <v>196552.5</v>
      </c>
      <c r="F14" s="1"/>
      <c r="G14" s="7">
        <v>94350</v>
      </c>
      <c r="I14" s="15">
        <f>31357+40050</f>
        <v>71407</v>
      </c>
    </row>
    <row r="15" spans="1:14" x14ac:dyDescent="0.2">
      <c r="A15" s="1"/>
      <c r="B15" s="1" t="s">
        <v>1</v>
      </c>
      <c r="C15" s="7">
        <v>0</v>
      </c>
      <c r="D15" s="7">
        <v>0</v>
      </c>
      <c r="E15" s="7">
        <f t="shared" si="0"/>
        <v>0</v>
      </c>
      <c r="F15" s="1"/>
      <c r="G15" s="7">
        <v>0</v>
      </c>
      <c r="I15" s="13">
        <v>0</v>
      </c>
    </row>
    <row r="16" spans="1:14" x14ac:dyDescent="0.2">
      <c r="A16" s="1"/>
      <c r="B16" s="1" t="s">
        <v>10</v>
      </c>
      <c r="C16" s="7">
        <v>0</v>
      </c>
      <c r="D16" s="7">
        <v>0</v>
      </c>
      <c r="E16" s="7">
        <f t="shared" si="0"/>
        <v>0</v>
      </c>
      <c r="F16" s="1"/>
      <c r="G16" s="7">
        <v>0</v>
      </c>
      <c r="I16" s="13">
        <v>0</v>
      </c>
    </row>
    <row r="17" spans="1:9" x14ac:dyDescent="0.2">
      <c r="A17" s="1"/>
      <c r="B17" s="9" t="s">
        <v>13</v>
      </c>
      <c r="C17" s="7">
        <v>0</v>
      </c>
      <c r="D17" s="7">
        <v>0</v>
      </c>
      <c r="E17" s="7">
        <f t="shared" si="0"/>
        <v>0</v>
      </c>
      <c r="F17" s="1"/>
      <c r="G17" s="7">
        <v>0</v>
      </c>
      <c r="I17" s="13">
        <v>0</v>
      </c>
    </row>
    <row r="18" spans="1:9" x14ac:dyDescent="0.2">
      <c r="A18" s="1"/>
      <c r="B18" s="1" t="s">
        <v>11</v>
      </c>
      <c r="C18" s="7">
        <v>0</v>
      </c>
      <c r="D18" s="7">
        <v>0</v>
      </c>
      <c r="E18" s="7">
        <f t="shared" si="0"/>
        <v>0</v>
      </c>
      <c r="F18" s="1"/>
      <c r="G18" s="7">
        <v>0</v>
      </c>
      <c r="I18" s="13">
        <v>0</v>
      </c>
    </row>
    <row r="19" spans="1:9" x14ac:dyDescent="0.2">
      <c r="A19" s="1"/>
      <c r="B19" s="1" t="s">
        <v>2</v>
      </c>
      <c r="C19" s="7">
        <v>153416</v>
      </c>
      <c r="D19" s="7">
        <v>123050</v>
      </c>
      <c r="E19" s="7">
        <f t="shared" si="0"/>
        <v>138233</v>
      </c>
      <c r="F19" s="1"/>
      <c r="G19" s="7">
        <v>0</v>
      </c>
      <c r="I19" s="13">
        <v>0</v>
      </c>
    </row>
    <row r="20" spans="1:9" x14ac:dyDescent="0.2">
      <c r="A20" s="1"/>
      <c r="B20" s="1" t="s">
        <v>0</v>
      </c>
      <c r="C20" s="7">
        <f>SUM(C11:C19)</f>
        <v>1828069</v>
      </c>
      <c r="D20" s="7">
        <f>SUM(D11:D19)</f>
        <v>1903650</v>
      </c>
      <c r="E20" s="7">
        <f>SUM(E11:E19)</f>
        <v>1865859.5</v>
      </c>
      <c r="F20" s="1"/>
      <c r="G20" s="7">
        <f>SUM(G11:G19)</f>
        <v>1867637</v>
      </c>
      <c r="I20" s="13">
        <f>SUM(I12:I19)</f>
        <v>1608772</v>
      </c>
    </row>
    <row r="21" spans="1:9" x14ac:dyDescent="0.2">
      <c r="A21" s="1"/>
      <c r="B21" s="1"/>
      <c r="C21" s="1"/>
      <c r="D21" s="1"/>
      <c r="E21" s="1"/>
      <c r="F21" s="1"/>
      <c r="G21" s="1"/>
    </row>
    <row r="22" spans="1:9" x14ac:dyDescent="0.2">
      <c r="A22" s="1"/>
      <c r="B22" s="1"/>
      <c r="C22" s="1"/>
      <c r="D22" s="1"/>
      <c r="E22" s="1"/>
      <c r="F22" s="1"/>
      <c r="G22" s="1"/>
    </row>
  </sheetData>
  <pageMargins left="0.7" right="0.7" top="0.75" bottom="0.75" header="0.3" footer="0.3"/>
  <pageSetup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7664A-E62D-4614-AD13-D30FF92BE111}">
  <sheetPr>
    <tabColor rgb="FF00B050"/>
    <pageSetUpPr fitToPage="1"/>
  </sheetPr>
  <dimension ref="A1:N37"/>
  <sheetViews>
    <sheetView topLeftCell="A4" zoomScale="90" zoomScaleNormal="90" workbookViewId="0">
      <selection activeCell="E20" sqref="E20"/>
    </sheetView>
  </sheetViews>
  <sheetFormatPr defaultRowHeight="12.75" x14ac:dyDescent="0.2"/>
  <cols>
    <col min="1" max="1" width="17.28515625" customWidth="1"/>
    <col min="2" max="2" width="19.28515625" bestFit="1" customWidth="1"/>
    <col min="3" max="3" width="19.140625" customWidth="1"/>
    <col min="4" max="4" width="18.7109375" customWidth="1"/>
    <col min="5" max="5" width="13.28515625" bestFit="1" customWidth="1"/>
    <col min="6" max="6" width="5.7109375" customWidth="1"/>
    <col min="7" max="14" width="14.7109375" customWidth="1"/>
  </cols>
  <sheetData>
    <row r="1" spans="1:14" x14ac:dyDescent="0.2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5" customHeight="1" x14ac:dyDescent="0.2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" customHeight="1" x14ac:dyDescent="0.2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7.25" customHeight="1" x14ac:dyDescent="0.2">
      <c r="A4" s="1"/>
      <c r="B4" s="1"/>
      <c r="C4" s="1"/>
      <c r="D4" s="1"/>
      <c r="E4" s="1"/>
      <c r="F4" s="1"/>
      <c r="G4" s="1"/>
      <c r="H4" s="1"/>
    </row>
    <row r="5" spans="1:14" x14ac:dyDescent="0.2">
      <c r="A5" s="5" t="s">
        <v>20</v>
      </c>
      <c r="B5" s="1"/>
      <c r="C5" s="1"/>
      <c r="D5" s="1"/>
      <c r="E5" s="1"/>
      <c r="F5" s="1"/>
      <c r="G5" s="1"/>
      <c r="H5" s="1"/>
    </row>
    <row r="6" spans="1:14" x14ac:dyDescent="0.2">
      <c r="A6" s="1"/>
      <c r="B6" s="1"/>
      <c r="C6" s="1"/>
      <c r="D6" s="1"/>
      <c r="E6" s="1"/>
      <c r="F6" s="1"/>
      <c r="G6" s="1"/>
      <c r="H6" s="1"/>
    </row>
    <row r="7" spans="1:14" x14ac:dyDescent="0.2">
      <c r="A7" s="5" t="s">
        <v>16</v>
      </c>
      <c r="B7" s="1"/>
      <c r="C7" s="1"/>
      <c r="D7" s="1"/>
      <c r="E7" s="1"/>
      <c r="F7" s="1"/>
      <c r="G7" s="31" t="s">
        <v>54</v>
      </c>
      <c r="H7" s="1"/>
      <c r="J7" t="s">
        <v>69</v>
      </c>
    </row>
    <row r="8" spans="1:14" x14ac:dyDescent="0.2">
      <c r="A8" s="5"/>
      <c r="B8" s="1" t="s">
        <v>7</v>
      </c>
      <c r="C8" s="41" t="s">
        <v>78</v>
      </c>
      <c r="D8" s="1"/>
      <c r="E8" s="1"/>
      <c r="F8" s="1"/>
      <c r="G8" s="12">
        <v>44743</v>
      </c>
      <c r="H8" s="1"/>
      <c r="J8" s="32">
        <v>44013</v>
      </c>
    </row>
    <row r="9" spans="1:14" x14ac:dyDescent="0.2">
      <c r="A9" s="5"/>
      <c r="B9" s="1" t="s">
        <v>6</v>
      </c>
      <c r="C9" s="10">
        <v>2018</v>
      </c>
      <c r="D9" s="1">
        <v>2019</v>
      </c>
      <c r="E9" s="1" t="s">
        <v>18</v>
      </c>
      <c r="F9" s="1"/>
      <c r="G9" s="12">
        <v>45107</v>
      </c>
      <c r="H9" s="1" t="s">
        <v>19</v>
      </c>
      <c r="J9" s="32">
        <v>44377</v>
      </c>
    </row>
    <row r="10" spans="1:14" x14ac:dyDescent="0.2">
      <c r="A10" s="1"/>
      <c r="B10" s="1"/>
      <c r="C10" s="1"/>
      <c r="D10" s="1"/>
      <c r="E10" s="1"/>
      <c r="F10" s="1"/>
      <c r="G10" s="1"/>
      <c r="H10" s="1"/>
    </row>
    <row r="11" spans="1:14" x14ac:dyDescent="0.2">
      <c r="A11" s="5" t="s">
        <v>17</v>
      </c>
      <c r="B11" s="1"/>
      <c r="C11" s="1"/>
      <c r="D11" s="1"/>
      <c r="E11" s="1"/>
      <c r="F11" s="1"/>
      <c r="G11" s="1"/>
      <c r="H11" s="1"/>
    </row>
    <row r="12" spans="1:14" x14ac:dyDescent="0.2">
      <c r="A12" s="1"/>
      <c r="B12" s="1" t="s">
        <v>9</v>
      </c>
      <c r="C12" s="7">
        <v>0</v>
      </c>
      <c r="D12" s="7">
        <v>0</v>
      </c>
      <c r="E12" s="7">
        <f>(C12+D12)/2</f>
        <v>0</v>
      </c>
      <c r="F12" s="1"/>
      <c r="G12" s="7">
        <v>604654</v>
      </c>
      <c r="H12" s="11">
        <f>G12-E12</f>
        <v>604654</v>
      </c>
      <c r="J12" s="11">
        <f>195793.73+12684.01</f>
        <v>208477.74000000002</v>
      </c>
    </row>
    <row r="13" spans="1:14" x14ac:dyDescent="0.2">
      <c r="A13" s="1"/>
      <c r="B13" s="1" t="s">
        <v>5</v>
      </c>
      <c r="C13" s="7">
        <v>311783.46999999997</v>
      </c>
      <c r="D13" s="7">
        <v>302940</v>
      </c>
      <c r="E13" s="7">
        <f t="shared" ref="E13:E19" si="0">(C13+D13)/2</f>
        <v>307361.73499999999</v>
      </c>
      <c r="F13" s="1"/>
      <c r="G13" s="7">
        <v>209100</v>
      </c>
      <c r="H13" s="11">
        <f t="shared" ref="H13:H20" si="1">G13-E13</f>
        <v>-98261.734999999986</v>
      </c>
      <c r="J13" s="11">
        <f>117880+113617.25</f>
        <v>231497.25</v>
      </c>
    </row>
    <row r="14" spans="1:14" x14ac:dyDescent="0.2">
      <c r="A14" s="1"/>
      <c r="B14" s="1" t="s">
        <v>12</v>
      </c>
      <c r="C14" s="7">
        <v>8095.6</v>
      </c>
      <c r="D14" s="7">
        <v>17166.05</v>
      </c>
      <c r="E14" s="7">
        <f t="shared" si="0"/>
        <v>12630.825000000001</v>
      </c>
      <c r="F14" s="1"/>
      <c r="G14" s="7">
        <v>56400</v>
      </c>
      <c r="H14" s="11">
        <f t="shared" si="1"/>
        <v>43769.175000000003</v>
      </c>
      <c r="J14" s="11">
        <v>11411.26</v>
      </c>
    </row>
    <row r="15" spans="1:14" x14ac:dyDescent="0.2">
      <c r="A15" s="1"/>
      <c r="B15" s="1" t="s">
        <v>1</v>
      </c>
      <c r="C15" s="7">
        <v>0</v>
      </c>
      <c r="D15" s="7">
        <v>0</v>
      </c>
      <c r="E15" s="7">
        <f t="shared" si="0"/>
        <v>0</v>
      </c>
      <c r="F15" s="1"/>
      <c r="G15" s="7">
        <v>0</v>
      </c>
      <c r="H15" s="11">
        <f t="shared" si="1"/>
        <v>0</v>
      </c>
      <c r="J15" s="11">
        <v>0</v>
      </c>
    </row>
    <row r="16" spans="1:14" x14ac:dyDescent="0.2">
      <c r="A16" s="1"/>
      <c r="B16" s="1" t="s">
        <v>10</v>
      </c>
      <c r="C16" s="7">
        <v>0</v>
      </c>
      <c r="D16" s="7">
        <v>0</v>
      </c>
      <c r="E16" s="7">
        <f t="shared" si="0"/>
        <v>0</v>
      </c>
      <c r="F16" s="1"/>
      <c r="G16" s="7">
        <v>2560</v>
      </c>
      <c r="H16" s="11">
        <f t="shared" si="1"/>
        <v>2560</v>
      </c>
      <c r="J16" s="11">
        <v>0</v>
      </c>
    </row>
    <row r="17" spans="1:10" x14ac:dyDescent="0.2">
      <c r="A17" s="1"/>
      <c r="B17" s="9" t="s">
        <v>13</v>
      </c>
      <c r="C17" s="7">
        <v>0</v>
      </c>
      <c r="D17" s="7">
        <v>0</v>
      </c>
      <c r="E17" s="7">
        <f t="shared" si="0"/>
        <v>0</v>
      </c>
      <c r="F17" s="1"/>
      <c r="G17" s="7">
        <v>7000</v>
      </c>
      <c r="H17" s="11">
        <f t="shared" si="1"/>
        <v>7000</v>
      </c>
      <c r="J17" s="11">
        <v>48578.3</v>
      </c>
    </row>
    <row r="18" spans="1:10" x14ac:dyDescent="0.2">
      <c r="A18" s="1"/>
      <c r="B18" s="1" t="s">
        <v>11</v>
      </c>
      <c r="C18" s="7">
        <v>0</v>
      </c>
      <c r="D18" s="7">
        <v>0</v>
      </c>
      <c r="E18" s="7">
        <f t="shared" si="0"/>
        <v>0</v>
      </c>
      <c r="F18" s="1"/>
      <c r="G18" s="7">
        <v>38330</v>
      </c>
      <c r="H18" s="11">
        <f t="shared" si="1"/>
        <v>38330</v>
      </c>
      <c r="I18" s="2" t="s">
        <v>3</v>
      </c>
      <c r="J18" s="11">
        <v>8207.65</v>
      </c>
    </row>
    <row r="19" spans="1:10" x14ac:dyDescent="0.2">
      <c r="A19" s="1"/>
      <c r="B19" s="1" t="s">
        <v>2</v>
      </c>
      <c r="C19" s="7">
        <v>35906.42</v>
      </c>
      <c r="D19" s="7">
        <v>15548.18</v>
      </c>
      <c r="E19" s="7">
        <f t="shared" si="0"/>
        <v>25727.3</v>
      </c>
      <c r="F19" s="1"/>
      <c r="G19" s="7">
        <v>0</v>
      </c>
      <c r="H19" s="11">
        <f t="shared" si="1"/>
        <v>-25727.3</v>
      </c>
      <c r="J19" s="11">
        <v>0</v>
      </c>
    </row>
    <row r="20" spans="1:10" x14ac:dyDescent="0.2">
      <c r="A20" s="1"/>
      <c r="B20" s="1" t="s">
        <v>0</v>
      </c>
      <c r="C20" s="7">
        <f>SUM(C11:C19)</f>
        <v>355785.48999999993</v>
      </c>
      <c r="D20" s="7">
        <f>SUM(D11:D19)</f>
        <v>335654.23</v>
      </c>
      <c r="E20" s="7">
        <f>SUM(E11:E19)</f>
        <v>345719.86</v>
      </c>
      <c r="F20" s="1"/>
      <c r="G20" s="7">
        <f>SUM(G11:G19)</f>
        <v>918044</v>
      </c>
      <c r="H20" s="11">
        <f t="shared" si="1"/>
        <v>572324.14</v>
      </c>
      <c r="J20" s="11">
        <f>SUM(J12:J19)</f>
        <v>508172.2</v>
      </c>
    </row>
    <row r="23" spans="1:10" x14ac:dyDescent="0.2">
      <c r="C23" s="40" t="s">
        <v>77</v>
      </c>
    </row>
    <row r="24" spans="1:10" x14ac:dyDescent="0.2">
      <c r="A24" s="5" t="s">
        <v>17</v>
      </c>
      <c r="B24" s="1"/>
      <c r="C24" s="1"/>
      <c r="D24" s="1"/>
      <c r="E24" s="1"/>
    </row>
    <row r="25" spans="1:10" x14ac:dyDescent="0.2">
      <c r="A25" s="1"/>
      <c r="B25" s="1" t="s">
        <v>9</v>
      </c>
      <c r="C25" s="42">
        <v>0</v>
      </c>
      <c r="D25" s="42">
        <v>0</v>
      </c>
      <c r="E25" s="42">
        <f>(C25+D25)/2</f>
        <v>0</v>
      </c>
    </row>
    <row r="26" spans="1:10" x14ac:dyDescent="0.2">
      <c r="A26" s="1"/>
      <c r="B26" s="1" t="s">
        <v>5</v>
      </c>
      <c r="C26" s="42">
        <v>350318.5</v>
      </c>
      <c r="D26" s="42">
        <v>336600</v>
      </c>
      <c r="E26" s="42">
        <f t="shared" ref="E26:E32" si="2">(C26+D26)/2</f>
        <v>343459.25</v>
      </c>
    </row>
    <row r="27" spans="1:10" x14ac:dyDescent="0.2">
      <c r="A27" s="1"/>
      <c r="B27" s="1" t="s">
        <v>12</v>
      </c>
      <c r="C27" s="42">
        <v>30091.59</v>
      </c>
      <c r="D27" s="42">
        <v>56019.18</v>
      </c>
      <c r="E27" s="42">
        <f t="shared" si="2"/>
        <v>43055.385000000002</v>
      </c>
    </row>
    <row r="28" spans="1:10" x14ac:dyDescent="0.2">
      <c r="A28" s="1"/>
      <c r="B28" s="1" t="s">
        <v>1</v>
      </c>
      <c r="C28" s="42">
        <v>0</v>
      </c>
      <c r="D28" s="42">
        <v>0</v>
      </c>
      <c r="E28" s="42">
        <f t="shared" si="2"/>
        <v>0</v>
      </c>
    </row>
    <row r="29" spans="1:10" x14ac:dyDescent="0.2">
      <c r="A29" s="1"/>
      <c r="B29" s="1" t="s">
        <v>10</v>
      </c>
      <c r="C29" s="42">
        <v>0</v>
      </c>
      <c r="D29" s="42">
        <v>0</v>
      </c>
      <c r="E29" s="42">
        <f t="shared" si="2"/>
        <v>0</v>
      </c>
    </row>
    <row r="30" spans="1:10" x14ac:dyDescent="0.2">
      <c r="A30" s="1"/>
      <c r="B30" s="9" t="s">
        <v>13</v>
      </c>
      <c r="C30" s="42">
        <v>0</v>
      </c>
      <c r="D30" s="42">
        <v>0</v>
      </c>
      <c r="E30" s="42">
        <f t="shared" si="2"/>
        <v>0</v>
      </c>
    </row>
    <row r="31" spans="1:10" x14ac:dyDescent="0.2">
      <c r="A31" s="1"/>
      <c r="B31" s="1" t="s">
        <v>11</v>
      </c>
      <c r="C31" s="42">
        <v>0</v>
      </c>
      <c r="D31" s="42">
        <v>0</v>
      </c>
      <c r="E31" s="42">
        <f t="shared" si="2"/>
        <v>0</v>
      </c>
    </row>
    <row r="32" spans="1:10" x14ac:dyDescent="0.2">
      <c r="A32" s="1"/>
      <c r="B32" s="1" t="s">
        <v>2</v>
      </c>
      <c r="C32" s="42">
        <v>119293.11</v>
      </c>
      <c r="D32" s="42">
        <v>150474.76</v>
      </c>
      <c r="E32" s="42">
        <f t="shared" si="2"/>
        <v>134883.935</v>
      </c>
    </row>
    <row r="33" spans="1:7" x14ac:dyDescent="0.2">
      <c r="A33" s="1"/>
      <c r="B33" s="1" t="s">
        <v>0</v>
      </c>
      <c r="C33" s="42">
        <f>SUM(C24:C32)</f>
        <v>499703.2</v>
      </c>
      <c r="D33" s="42">
        <f>SUM(D24:D32)</f>
        <v>543093.93999999994</v>
      </c>
      <c r="E33" s="42">
        <f>SUM(E24:E32)</f>
        <v>521398.57</v>
      </c>
    </row>
    <row r="37" spans="1:7" x14ac:dyDescent="0.2">
      <c r="B37" s="43" t="s">
        <v>80</v>
      </c>
      <c r="C37" s="13">
        <f>C33-C20</f>
        <v>143917.71000000008</v>
      </c>
      <c r="D37" s="13">
        <f>D33-D20</f>
        <v>207439.70999999996</v>
      </c>
      <c r="E37" s="13">
        <f>C37+D37</f>
        <v>351357.42000000004</v>
      </c>
      <c r="G37" s="13">
        <f>E33-E20</f>
        <v>175678.71000000002</v>
      </c>
    </row>
  </sheetData>
  <pageMargins left="0.7" right="0.7" top="0.75" bottom="0.75" header="0.3" footer="0.3"/>
  <pageSetup scale="9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71192-E41B-42D6-A2FA-C5BDFE62B541}">
  <sheetPr>
    <tabColor rgb="FF92D050"/>
    <pageSetUpPr fitToPage="1"/>
  </sheetPr>
  <dimension ref="A1:O21"/>
  <sheetViews>
    <sheetView zoomScale="90" zoomScaleNormal="90" workbookViewId="0">
      <selection activeCell="J13" sqref="J13"/>
    </sheetView>
  </sheetViews>
  <sheetFormatPr defaultRowHeight="12.75" x14ac:dyDescent="0.2"/>
  <cols>
    <col min="1" max="1" width="17.28515625" customWidth="1"/>
    <col min="2" max="2" width="19.28515625" bestFit="1" customWidth="1"/>
    <col min="3" max="3" width="19.140625" customWidth="1"/>
    <col min="4" max="4" width="15.85546875" customWidth="1"/>
    <col min="5" max="5" width="17.140625" customWidth="1"/>
    <col min="6" max="6" width="5.7109375" customWidth="1"/>
    <col min="7" max="8" width="16.140625" bestFit="1" customWidth="1"/>
    <col min="9" max="9" width="14.7109375" customWidth="1"/>
    <col min="10" max="10" width="16.140625" bestFit="1" customWidth="1"/>
    <col min="11" max="15" width="14.7109375" customWidth="1"/>
  </cols>
  <sheetData>
    <row r="1" spans="1:15" x14ac:dyDescent="0.2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" customHeight="1" x14ac:dyDescent="0.2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customHeight="1" x14ac:dyDescent="0.2">
      <c r="A4" s="1"/>
      <c r="B4" s="1"/>
      <c r="C4" s="1"/>
      <c r="D4" s="1"/>
      <c r="E4" s="1"/>
      <c r="F4" s="1"/>
      <c r="G4" s="1"/>
      <c r="H4" s="1"/>
    </row>
    <row r="5" spans="1:15" x14ac:dyDescent="0.2">
      <c r="A5" s="5" t="s">
        <v>21</v>
      </c>
      <c r="B5" s="1"/>
      <c r="C5" s="1"/>
      <c r="D5" s="1"/>
      <c r="E5" s="1"/>
      <c r="F5" s="1"/>
      <c r="G5" s="1"/>
      <c r="H5" s="1"/>
    </row>
    <row r="6" spans="1:15" x14ac:dyDescent="0.2">
      <c r="A6" s="1"/>
      <c r="B6" s="1"/>
      <c r="C6" s="1"/>
      <c r="D6" s="1"/>
      <c r="E6" s="1"/>
      <c r="F6" s="1"/>
      <c r="G6" s="1"/>
      <c r="H6" s="1"/>
    </row>
    <row r="7" spans="1:15" x14ac:dyDescent="0.2">
      <c r="A7" s="5" t="s">
        <v>16</v>
      </c>
      <c r="B7" s="1"/>
      <c r="C7" s="1"/>
      <c r="D7" s="1"/>
      <c r="E7" s="1"/>
      <c r="F7" s="1"/>
      <c r="G7" s="31" t="s">
        <v>54</v>
      </c>
      <c r="H7" s="1"/>
      <c r="J7" t="s">
        <v>69</v>
      </c>
    </row>
    <row r="8" spans="1:15" x14ac:dyDescent="0.2">
      <c r="A8" s="5"/>
      <c r="B8" s="1" t="s">
        <v>7</v>
      </c>
      <c r="C8" s="8"/>
      <c r="D8" s="1"/>
      <c r="E8" s="1"/>
      <c r="F8" s="1"/>
      <c r="G8" s="12">
        <v>44743</v>
      </c>
      <c r="H8" s="1"/>
      <c r="J8" s="32">
        <v>44013</v>
      </c>
    </row>
    <row r="9" spans="1:15" x14ac:dyDescent="0.2">
      <c r="A9" s="5"/>
      <c r="B9" s="1" t="s">
        <v>6</v>
      </c>
      <c r="C9" s="10">
        <v>2018</v>
      </c>
      <c r="D9" s="1">
        <v>2019</v>
      </c>
      <c r="E9" s="1" t="s">
        <v>18</v>
      </c>
      <c r="F9" s="1"/>
      <c r="G9" s="12">
        <v>45107</v>
      </c>
      <c r="H9" s="1" t="s">
        <v>19</v>
      </c>
      <c r="J9" s="32">
        <v>44377</v>
      </c>
    </row>
    <row r="10" spans="1:15" x14ac:dyDescent="0.2">
      <c r="A10" s="1"/>
      <c r="B10" s="1"/>
      <c r="C10" s="1"/>
      <c r="D10" s="1"/>
      <c r="E10" s="1"/>
      <c r="F10" s="1"/>
      <c r="G10" s="1"/>
      <c r="H10" s="1"/>
    </row>
    <row r="11" spans="1:15" x14ac:dyDescent="0.2">
      <c r="A11" s="5" t="s">
        <v>17</v>
      </c>
      <c r="B11" s="1"/>
      <c r="C11" s="1"/>
      <c r="D11" s="1"/>
      <c r="E11" s="1"/>
      <c r="F11" s="1"/>
      <c r="G11" s="1"/>
      <c r="H11" s="1"/>
    </row>
    <row r="12" spans="1:15" x14ac:dyDescent="0.2">
      <c r="A12" s="1"/>
      <c r="B12" s="1" t="s">
        <v>9</v>
      </c>
      <c r="C12" s="7">
        <v>22220913.52</v>
      </c>
      <c r="D12" s="7">
        <v>23999660.02</v>
      </c>
      <c r="E12" s="7">
        <f>(C12+D12)/2</f>
        <v>23110286.77</v>
      </c>
      <c r="F12" s="1"/>
      <c r="G12" s="7">
        <f>29582350+2580772+187470+6357456</f>
        <v>38708048</v>
      </c>
      <c r="H12" s="11">
        <f>G12-E12</f>
        <v>15597761.23</v>
      </c>
      <c r="J12" s="11">
        <f>25668660+2243888+155370+4911157+1186409</f>
        <v>34165484</v>
      </c>
    </row>
    <row r="13" spans="1:15" x14ac:dyDescent="0.2">
      <c r="A13" s="1"/>
      <c r="B13" s="9" t="s">
        <v>36</v>
      </c>
      <c r="C13" s="7">
        <v>8627328.9199999999</v>
      </c>
      <c r="D13" s="7">
        <v>9260531.8000000007</v>
      </c>
      <c r="E13" s="7">
        <f>(C13+D13)/2</f>
        <v>8943930.3599999994</v>
      </c>
      <c r="F13" s="1"/>
      <c r="G13" s="7">
        <v>0</v>
      </c>
      <c r="H13" s="11">
        <f>G13-E13</f>
        <v>-8943930.3599999994</v>
      </c>
      <c r="J13" s="11">
        <v>0</v>
      </c>
    </row>
    <row r="14" spans="1:15" x14ac:dyDescent="0.2">
      <c r="A14" s="1"/>
      <c r="B14" s="1" t="s">
        <v>5</v>
      </c>
      <c r="C14" s="7">
        <v>10250886.82</v>
      </c>
      <c r="D14" s="7">
        <v>11584743.220000001</v>
      </c>
      <c r="E14" s="7">
        <f t="shared" ref="E14:E20" si="0">(C14+D14)/2</f>
        <v>10917815.02</v>
      </c>
      <c r="F14" s="1"/>
      <c r="G14" s="7">
        <v>11742500</v>
      </c>
      <c r="H14" s="11">
        <f t="shared" ref="H14:H21" si="1">G14-E14</f>
        <v>824684.98000000045</v>
      </c>
      <c r="J14" s="11">
        <v>10256248</v>
      </c>
    </row>
    <row r="15" spans="1:15" x14ac:dyDescent="0.2">
      <c r="A15" s="1"/>
      <c r="B15" s="1" t="s">
        <v>12</v>
      </c>
      <c r="C15" s="7">
        <v>2669941.7000000002</v>
      </c>
      <c r="D15" s="7">
        <v>3140175.08</v>
      </c>
      <c r="E15" s="7">
        <f t="shared" si="0"/>
        <v>2905058.39</v>
      </c>
      <c r="F15" s="1"/>
      <c r="G15" s="7">
        <f>1200000+1913959+1323744</f>
        <v>4437703</v>
      </c>
      <c r="H15" s="11">
        <f t="shared" si="1"/>
        <v>1532644.6099999999</v>
      </c>
      <c r="J15" s="11">
        <f>955038+1045747</f>
        <v>2000785</v>
      </c>
    </row>
    <row r="16" spans="1:15" x14ac:dyDescent="0.2">
      <c r="A16" s="1"/>
      <c r="B16" s="1" t="s">
        <v>1</v>
      </c>
      <c r="C16" s="7">
        <v>2373.36</v>
      </c>
      <c r="D16" s="7">
        <v>0</v>
      </c>
      <c r="E16" s="7">
        <f t="shared" si="0"/>
        <v>1186.68</v>
      </c>
      <c r="F16" s="1"/>
      <c r="G16" s="7">
        <v>0</v>
      </c>
      <c r="H16" s="11">
        <f t="shared" si="1"/>
        <v>-1186.68</v>
      </c>
      <c r="J16" s="11">
        <v>0</v>
      </c>
    </row>
    <row r="17" spans="1:10" x14ac:dyDescent="0.2">
      <c r="A17" s="1"/>
      <c r="B17" s="1" t="s">
        <v>10</v>
      </c>
      <c r="C17" s="7">
        <v>98206.97</v>
      </c>
      <c r="D17" s="7">
        <v>103682.02</v>
      </c>
      <c r="E17" s="7">
        <f t="shared" si="0"/>
        <v>100944.495</v>
      </c>
      <c r="F17" s="1"/>
      <c r="G17" s="7">
        <v>149527</v>
      </c>
      <c r="H17" s="11">
        <f t="shared" si="1"/>
        <v>48582.505000000005</v>
      </c>
      <c r="J17" s="11">
        <v>13974</v>
      </c>
    </row>
    <row r="18" spans="1:10" x14ac:dyDescent="0.2">
      <c r="A18" s="1"/>
      <c r="B18" s="9" t="s">
        <v>13</v>
      </c>
      <c r="C18" s="7">
        <v>0</v>
      </c>
      <c r="D18" s="7">
        <v>0</v>
      </c>
      <c r="E18" s="7">
        <f t="shared" si="0"/>
        <v>0</v>
      </c>
      <c r="F18" s="1"/>
      <c r="G18" s="7">
        <v>0</v>
      </c>
      <c r="H18" s="11">
        <f t="shared" si="1"/>
        <v>0</v>
      </c>
      <c r="J18" s="11">
        <v>0</v>
      </c>
    </row>
    <row r="19" spans="1:10" x14ac:dyDescent="0.2">
      <c r="A19" s="1"/>
      <c r="B19" s="1" t="s">
        <v>11</v>
      </c>
      <c r="C19" s="7">
        <v>69102.8</v>
      </c>
      <c r="D19" s="7">
        <v>75091.839999999997</v>
      </c>
      <c r="E19" s="7">
        <f t="shared" si="0"/>
        <v>72097.320000000007</v>
      </c>
      <c r="F19" s="1"/>
      <c r="G19" s="7">
        <v>374956</v>
      </c>
      <c r="H19" s="11">
        <f t="shared" si="1"/>
        <v>302858.68</v>
      </c>
      <c r="I19" s="2" t="s">
        <v>3</v>
      </c>
      <c r="J19" s="11">
        <v>297279</v>
      </c>
    </row>
    <row r="20" spans="1:10" x14ac:dyDescent="0.2">
      <c r="A20" s="1"/>
      <c r="B20" s="1" t="s">
        <v>2</v>
      </c>
      <c r="C20" s="7">
        <v>305453.58</v>
      </c>
      <c r="D20" s="7">
        <v>330114</v>
      </c>
      <c r="E20" s="7">
        <f t="shared" si="0"/>
        <v>317783.79000000004</v>
      </c>
      <c r="F20" s="1"/>
      <c r="G20" s="7">
        <v>85320</v>
      </c>
      <c r="H20" s="11">
        <f t="shared" si="1"/>
        <v>-232463.79000000004</v>
      </c>
      <c r="J20" s="11">
        <v>65710</v>
      </c>
    </row>
    <row r="21" spans="1:10" x14ac:dyDescent="0.2">
      <c r="A21" s="1"/>
      <c r="B21" s="1" t="s">
        <v>0</v>
      </c>
      <c r="C21" s="7">
        <f>SUM(C11:C20)</f>
        <v>44244207.669999994</v>
      </c>
      <c r="D21" s="7">
        <f>SUM(D11:D20)</f>
        <v>48493997.980000004</v>
      </c>
      <c r="E21" s="7">
        <f>SUM(E11:E20)</f>
        <v>46369102.824999996</v>
      </c>
      <c r="F21" s="1"/>
      <c r="G21" s="7">
        <f>SUM(G11:G20)</f>
        <v>55498054</v>
      </c>
      <c r="H21" s="11">
        <f t="shared" si="1"/>
        <v>9128951.1750000045</v>
      </c>
      <c r="J21" s="13">
        <f>SUM(J12:J20)</f>
        <v>46799480</v>
      </c>
    </row>
  </sheetData>
  <pageMargins left="0.7" right="0.7" top="0.75" bottom="0.75" header="0.3" footer="0.3"/>
  <pageSetup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692E2-EEF0-4282-8B74-CE4785F380AC}">
  <sheetPr>
    <tabColor rgb="FF92D050"/>
    <pageSetUpPr fitToPage="1"/>
  </sheetPr>
  <dimension ref="A1:O20"/>
  <sheetViews>
    <sheetView zoomScale="90" zoomScaleNormal="90" workbookViewId="0">
      <selection activeCell="G40" sqref="G40"/>
    </sheetView>
  </sheetViews>
  <sheetFormatPr defaultRowHeight="12.75" x14ac:dyDescent="0.2"/>
  <cols>
    <col min="1" max="1" width="17.28515625" customWidth="1"/>
    <col min="2" max="2" width="19.28515625" bestFit="1" customWidth="1"/>
    <col min="3" max="3" width="19.140625" customWidth="1"/>
    <col min="4" max="4" width="18.7109375" customWidth="1"/>
    <col min="5" max="5" width="13.28515625" bestFit="1" customWidth="1"/>
    <col min="6" max="6" width="5.7109375" customWidth="1"/>
    <col min="7" max="15" width="14.7109375" customWidth="1"/>
  </cols>
  <sheetData>
    <row r="1" spans="1:15" x14ac:dyDescent="0.2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" customHeight="1" x14ac:dyDescent="0.2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customHeight="1" x14ac:dyDescent="0.2">
      <c r="A4" s="1"/>
      <c r="B4" s="1"/>
      <c r="C4" s="1"/>
      <c r="D4" s="1"/>
      <c r="E4" s="1"/>
      <c r="F4" s="1"/>
      <c r="G4" s="1"/>
      <c r="H4" s="1"/>
    </row>
    <row r="5" spans="1:15" x14ac:dyDescent="0.2">
      <c r="A5" s="5" t="s">
        <v>22</v>
      </c>
      <c r="B5" s="1"/>
      <c r="C5" s="1"/>
      <c r="D5" s="1"/>
      <c r="E5" s="1"/>
      <c r="F5" s="1"/>
      <c r="G5" s="1"/>
      <c r="H5" s="1"/>
    </row>
    <row r="6" spans="1:15" x14ac:dyDescent="0.2">
      <c r="A6" s="1"/>
      <c r="B6" s="1"/>
      <c r="C6" s="1"/>
      <c r="D6" s="1"/>
      <c r="E6" s="1"/>
      <c r="F6" s="1"/>
      <c r="G6" s="1"/>
      <c r="H6" s="1"/>
    </row>
    <row r="7" spans="1:15" x14ac:dyDescent="0.2">
      <c r="A7" s="5" t="s">
        <v>16</v>
      </c>
      <c r="B7" s="1"/>
      <c r="C7" s="1"/>
      <c r="D7" s="1"/>
      <c r="E7" s="1"/>
      <c r="F7" s="1"/>
      <c r="G7" s="31" t="s">
        <v>54</v>
      </c>
      <c r="H7" s="1"/>
      <c r="J7" t="s">
        <v>69</v>
      </c>
    </row>
    <row r="8" spans="1:15" x14ac:dyDescent="0.2">
      <c r="A8" s="5"/>
      <c r="B8" s="1" t="s">
        <v>7</v>
      </c>
      <c r="C8" s="8"/>
      <c r="D8" s="1"/>
      <c r="E8" s="1"/>
      <c r="F8" s="1"/>
      <c r="G8" s="12">
        <v>44743</v>
      </c>
      <c r="H8" s="1"/>
      <c r="J8" s="32">
        <v>44013</v>
      </c>
    </row>
    <row r="9" spans="1:15" x14ac:dyDescent="0.2">
      <c r="A9" s="5"/>
      <c r="B9" s="1" t="s">
        <v>6</v>
      </c>
      <c r="C9" s="10">
        <v>2018</v>
      </c>
      <c r="D9" s="1">
        <v>2019</v>
      </c>
      <c r="E9" s="1" t="s">
        <v>18</v>
      </c>
      <c r="F9" s="1"/>
      <c r="G9" s="12">
        <v>45107</v>
      </c>
      <c r="H9" s="1" t="s">
        <v>19</v>
      </c>
      <c r="J9" s="32">
        <v>44377</v>
      </c>
    </row>
    <row r="10" spans="1:15" x14ac:dyDescent="0.2">
      <c r="A10" s="1"/>
      <c r="B10" s="1"/>
      <c r="C10" s="1"/>
      <c r="D10" s="1"/>
      <c r="E10" s="1"/>
      <c r="F10" s="1"/>
      <c r="G10" s="1"/>
      <c r="H10" s="1"/>
    </row>
    <row r="11" spans="1:15" x14ac:dyDescent="0.2">
      <c r="A11" s="5" t="s">
        <v>17</v>
      </c>
      <c r="B11" s="1"/>
      <c r="C11" s="1"/>
      <c r="D11" s="1"/>
      <c r="E11" s="1"/>
      <c r="F11" s="1"/>
      <c r="G11" s="1"/>
      <c r="H11" s="1"/>
    </row>
    <row r="12" spans="1:15" x14ac:dyDescent="0.2">
      <c r="A12" s="1"/>
      <c r="B12" s="1" t="s">
        <v>9</v>
      </c>
      <c r="C12" s="7">
        <v>0</v>
      </c>
      <c r="D12" s="7">
        <v>0</v>
      </c>
      <c r="E12" s="7">
        <f>(C12+D12)/2</f>
        <v>0</v>
      </c>
      <c r="F12" s="1"/>
      <c r="G12" s="7">
        <v>0</v>
      </c>
      <c r="H12" s="11">
        <f>G12-E12</f>
        <v>0</v>
      </c>
      <c r="J12" s="11">
        <v>0</v>
      </c>
    </row>
    <row r="13" spans="1:15" x14ac:dyDescent="0.2">
      <c r="A13" s="1"/>
      <c r="B13" s="1" t="s">
        <v>5</v>
      </c>
      <c r="C13" s="7">
        <v>805321.28</v>
      </c>
      <c r="D13" s="7">
        <v>851480.92</v>
      </c>
      <c r="E13" s="7">
        <f t="shared" ref="E13:E19" si="0">(C13+D13)/2</f>
        <v>828401.10000000009</v>
      </c>
      <c r="F13" s="1"/>
      <c r="G13" s="7">
        <f>1309000+200000</f>
        <v>1509000</v>
      </c>
      <c r="H13" s="11">
        <f t="shared" ref="H13:H20" si="1">G13-E13</f>
        <v>680598.89999999991</v>
      </c>
      <c r="J13" s="11">
        <v>1003170</v>
      </c>
    </row>
    <row r="14" spans="1:15" x14ac:dyDescent="0.2">
      <c r="A14" s="1"/>
      <c r="B14" s="1" t="s">
        <v>12</v>
      </c>
      <c r="C14" s="7">
        <v>19180.8</v>
      </c>
      <c r="D14" s="7">
        <v>8213.76</v>
      </c>
      <c r="E14" s="7">
        <f t="shared" si="0"/>
        <v>13697.279999999999</v>
      </c>
      <c r="F14" s="1"/>
      <c r="G14" s="7">
        <v>100000</v>
      </c>
      <c r="H14" s="11">
        <f t="shared" si="1"/>
        <v>86302.720000000001</v>
      </c>
      <c r="J14" s="11">
        <f>12000+38245</f>
        <v>50245</v>
      </c>
    </row>
    <row r="15" spans="1:15" x14ac:dyDescent="0.2">
      <c r="A15" s="1"/>
      <c r="B15" s="1" t="s">
        <v>1</v>
      </c>
      <c r="C15" s="7">
        <v>0</v>
      </c>
      <c r="D15" s="7">
        <v>0</v>
      </c>
      <c r="E15" s="7">
        <f t="shared" si="0"/>
        <v>0</v>
      </c>
      <c r="F15" s="1"/>
      <c r="G15" s="7">
        <v>0</v>
      </c>
      <c r="H15" s="11">
        <f t="shared" si="1"/>
        <v>0</v>
      </c>
      <c r="J15" s="11">
        <v>0</v>
      </c>
    </row>
    <row r="16" spans="1:15" x14ac:dyDescent="0.2">
      <c r="A16" s="1"/>
      <c r="B16" s="1" t="s">
        <v>10</v>
      </c>
      <c r="C16" s="7">
        <v>0</v>
      </c>
      <c r="D16" s="7">
        <v>0</v>
      </c>
      <c r="E16" s="7">
        <f t="shared" si="0"/>
        <v>0</v>
      </c>
      <c r="F16" s="1"/>
      <c r="G16" s="7">
        <v>0</v>
      </c>
      <c r="H16" s="11">
        <f t="shared" si="1"/>
        <v>0</v>
      </c>
      <c r="J16" s="11">
        <v>0</v>
      </c>
    </row>
    <row r="17" spans="1:10" x14ac:dyDescent="0.2">
      <c r="A17" s="1"/>
      <c r="B17" s="9" t="s">
        <v>13</v>
      </c>
      <c r="C17" s="7">
        <v>0</v>
      </c>
      <c r="D17" s="7">
        <v>0</v>
      </c>
      <c r="E17" s="7">
        <f t="shared" si="0"/>
        <v>0</v>
      </c>
      <c r="F17" s="1"/>
      <c r="G17" s="7">
        <v>0</v>
      </c>
      <c r="H17" s="11">
        <f t="shared" si="1"/>
        <v>0</v>
      </c>
      <c r="J17" s="11">
        <v>0</v>
      </c>
    </row>
    <row r="18" spans="1:10" x14ac:dyDescent="0.2">
      <c r="A18" s="1"/>
      <c r="B18" s="1" t="s">
        <v>11</v>
      </c>
      <c r="C18" s="7">
        <v>0</v>
      </c>
      <c r="D18" s="7">
        <v>0</v>
      </c>
      <c r="E18" s="7">
        <f t="shared" si="0"/>
        <v>0</v>
      </c>
      <c r="F18" s="1"/>
      <c r="G18" s="7">
        <v>0</v>
      </c>
      <c r="H18" s="11">
        <f t="shared" si="1"/>
        <v>0</v>
      </c>
      <c r="I18" s="2" t="s">
        <v>3</v>
      </c>
      <c r="J18" s="11">
        <v>0</v>
      </c>
    </row>
    <row r="19" spans="1:10" x14ac:dyDescent="0.2">
      <c r="A19" s="1"/>
      <c r="B19" s="1" t="s">
        <v>2</v>
      </c>
      <c r="C19" s="7">
        <f>6050+22891.8</f>
        <v>28941.8</v>
      </c>
      <c r="D19" s="7">
        <f>12221+24950</f>
        <v>37171</v>
      </c>
      <c r="E19" s="7">
        <f t="shared" si="0"/>
        <v>33056.400000000001</v>
      </c>
      <c r="F19" s="1"/>
      <c r="G19" s="7">
        <v>15000</v>
      </c>
      <c r="H19" s="11">
        <f t="shared" si="1"/>
        <v>-18056.400000000001</v>
      </c>
      <c r="J19" s="11">
        <v>28671</v>
      </c>
    </row>
    <row r="20" spans="1:10" x14ac:dyDescent="0.2">
      <c r="A20" s="1"/>
      <c r="B20" s="1" t="s">
        <v>0</v>
      </c>
      <c r="C20" s="7">
        <f>SUM(C11:C19)</f>
        <v>853443.88000000012</v>
      </c>
      <c r="D20" s="7">
        <f>SUM(D11:D19)</f>
        <v>896865.68</v>
      </c>
      <c r="E20" s="7">
        <f>SUM(E11:E19)</f>
        <v>875154.78000000014</v>
      </c>
      <c r="F20" s="1"/>
      <c r="G20" s="7">
        <f>SUM(G11:G19)</f>
        <v>1624000</v>
      </c>
      <c r="H20" s="11">
        <f t="shared" si="1"/>
        <v>748845.21999999986</v>
      </c>
      <c r="J20" s="11">
        <f>SUM(J12:J19)</f>
        <v>1082086</v>
      </c>
    </row>
  </sheetData>
  <pageMargins left="0.7" right="0.7" top="0.75" bottom="0.75" header="0.3" footer="0.3"/>
  <pageSetup scale="9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4C29D-A253-4B21-B7AC-D47FD13812AE}">
  <sheetPr>
    <tabColor rgb="FF92D050"/>
    <pageSetUpPr fitToPage="1"/>
  </sheetPr>
  <dimension ref="A1:O20"/>
  <sheetViews>
    <sheetView zoomScale="90" zoomScaleNormal="90" workbookViewId="0">
      <selection activeCell="J21" sqref="J21"/>
    </sheetView>
  </sheetViews>
  <sheetFormatPr defaultRowHeight="12.75" x14ac:dyDescent="0.2"/>
  <cols>
    <col min="1" max="1" width="17.28515625" customWidth="1"/>
    <col min="2" max="2" width="19.28515625" bestFit="1" customWidth="1"/>
    <col min="3" max="3" width="19.140625" customWidth="1"/>
    <col min="4" max="4" width="15" bestFit="1" customWidth="1"/>
    <col min="5" max="5" width="15.42578125" customWidth="1"/>
    <col min="6" max="6" width="5.7109375" customWidth="1"/>
    <col min="7" max="15" width="14.7109375" customWidth="1"/>
  </cols>
  <sheetData>
    <row r="1" spans="1:15" x14ac:dyDescent="0.2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" customHeight="1" x14ac:dyDescent="0.2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customHeight="1" x14ac:dyDescent="0.2">
      <c r="A4" s="1"/>
      <c r="B4" s="1"/>
      <c r="C4" s="1"/>
      <c r="D4" s="1"/>
      <c r="E4" s="1"/>
      <c r="F4" s="1"/>
      <c r="G4" s="1"/>
      <c r="H4" s="1"/>
    </row>
    <row r="5" spans="1:15" x14ac:dyDescent="0.2">
      <c r="A5" s="5" t="s">
        <v>23</v>
      </c>
      <c r="B5" s="1"/>
      <c r="C5" s="1"/>
      <c r="D5" s="1"/>
      <c r="E5" s="1"/>
      <c r="F5" s="1"/>
      <c r="G5" s="1"/>
      <c r="H5" s="1"/>
    </row>
    <row r="6" spans="1:15" x14ac:dyDescent="0.2">
      <c r="A6" s="1"/>
      <c r="B6" s="1"/>
      <c r="C6" s="1"/>
      <c r="D6" s="1"/>
      <c r="E6" s="1"/>
      <c r="F6" s="1"/>
      <c r="G6" s="1"/>
      <c r="H6" s="1"/>
    </row>
    <row r="7" spans="1:15" x14ac:dyDescent="0.2">
      <c r="A7" s="5" t="s">
        <v>16</v>
      </c>
      <c r="B7" s="1"/>
      <c r="C7" s="1"/>
      <c r="D7" s="1"/>
      <c r="E7" s="1"/>
      <c r="F7" s="1"/>
      <c r="G7" s="31" t="s">
        <v>54</v>
      </c>
      <c r="H7" s="1"/>
      <c r="J7" t="s">
        <v>69</v>
      </c>
    </row>
    <row r="8" spans="1:15" x14ac:dyDescent="0.2">
      <c r="A8" s="5"/>
      <c r="B8" s="1" t="s">
        <v>7</v>
      </c>
      <c r="C8" s="8"/>
      <c r="D8" s="1"/>
      <c r="E8" s="1"/>
      <c r="F8" s="1"/>
      <c r="G8" s="12">
        <v>44743</v>
      </c>
      <c r="H8" s="1"/>
      <c r="J8" s="32">
        <v>44013</v>
      </c>
    </row>
    <row r="9" spans="1:15" x14ac:dyDescent="0.2">
      <c r="A9" s="5"/>
      <c r="B9" s="1" t="s">
        <v>6</v>
      </c>
      <c r="C9" s="10">
        <v>2018</v>
      </c>
      <c r="D9" s="1">
        <v>2019</v>
      </c>
      <c r="E9" s="1" t="s">
        <v>18</v>
      </c>
      <c r="F9" s="1"/>
      <c r="G9" s="12">
        <v>45107</v>
      </c>
      <c r="H9" s="1" t="s">
        <v>19</v>
      </c>
      <c r="J9" s="32">
        <v>44377</v>
      </c>
    </row>
    <row r="10" spans="1:15" x14ac:dyDescent="0.2">
      <c r="A10" s="1"/>
      <c r="B10" s="1"/>
      <c r="C10" s="1"/>
      <c r="D10" s="1"/>
      <c r="E10" s="1"/>
      <c r="F10" s="1"/>
      <c r="G10" s="1"/>
      <c r="H10" s="1"/>
    </row>
    <row r="11" spans="1:15" x14ac:dyDescent="0.2">
      <c r="A11" s="5" t="s">
        <v>17</v>
      </c>
      <c r="B11" s="1"/>
      <c r="C11" s="1"/>
      <c r="D11" s="1"/>
      <c r="E11" s="1"/>
      <c r="F11" s="1"/>
      <c r="G11" s="1"/>
      <c r="H11" s="1"/>
    </row>
    <row r="12" spans="1:15" x14ac:dyDescent="0.2">
      <c r="A12" s="1"/>
      <c r="B12" s="1" t="s">
        <v>9</v>
      </c>
      <c r="C12" s="7">
        <v>1802732</v>
      </c>
      <c r="D12" s="7">
        <v>1921598</v>
      </c>
      <c r="E12" s="7">
        <f>(C12+D12)/2</f>
        <v>1862165</v>
      </c>
      <c r="F12" s="1"/>
      <c r="G12" s="7">
        <f>1260759+512177</f>
        <v>1772936</v>
      </c>
      <c r="H12" s="11">
        <f>G12-E12</f>
        <v>-89229</v>
      </c>
      <c r="J12" s="11">
        <f>992962.89+385211.95+91212.45</f>
        <v>1469387.29</v>
      </c>
    </row>
    <row r="13" spans="1:15" x14ac:dyDescent="0.2">
      <c r="A13" s="1"/>
      <c r="B13" s="1" t="s">
        <v>5</v>
      </c>
      <c r="C13" s="7">
        <v>0</v>
      </c>
      <c r="D13" s="7">
        <v>0</v>
      </c>
      <c r="E13" s="7">
        <f t="shared" ref="E13:E19" si="0">(C13+D13)/2</f>
        <v>0</v>
      </c>
      <c r="F13" s="1"/>
      <c r="G13" s="7">
        <v>607395</v>
      </c>
      <c r="H13" s="11">
        <f t="shared" ref="H13:H20" si="1">G13-E13</f>
        <v>607395</v>
      </c>
      <c r="J13" s="11">
        <v>803071.46</v>
      </c>
    </row>
    <row r="14" spans="1:15" x14ac:dyDescent="0.2">
      <c r="A14" s="1"/>
      <c r="B14" s="1" t="s">
        <v>12</v>
      </c>
      <c r="C14" s="7">
        <v>0</v>
      </c>
      <c r="D14" s="7">
        <v>0</v>
      </c>
      <c r="E14" s="7">
        <f t="shared" si="0"/>
        <v>0</v>
      </c>
      <c r="F14" s="1"/>
      <c r="G14" s="7">
        <f>20000+82500+98857</f>
        <v>201357</v>
      </c>
      <c r="H14" s="11">
        <f t="shared" si="1"/>
        <v>201357</v>
      </c>
      <c r="J14" s="11">
        <f>79500.66+20075.85</f>
        <v>99576.510000000009</v>
      </c>
    </row>
    <row r="15" spans="1:15" x14ac:dyDescent="0.2">
      <c r="A15" s="1"/>
      <c r="B15" s="1" t="s">
        <v>1</v>
      </c>
      <c r="C15" s="7">
        <v>0</v>
      </c>
      <c r="D15" s="7">
        <v>0</v>
      </c>
      <c r="E15" s="7">
        <f t="shared" si="0"/>
        <v>0</v>
      </c>
      <c r="F15" s="1"/>
      <c r="G15" s="7">
        <v>0</v>
      </c>
      <c r="H15" s="11">
        <f t="shared" si="1"/>
        <v>0</v>
      </c>
      <c r="J15" s="11">
        <v>0</v>
      </c>
    </row>
    <row r="16" spans="1:15" x14ac:dyDescent="0.2">
      <c r="A16" s="1"/>
      <c r="B16" s="1" t="s">
        <v>10</v>
      </c>
      <c r="C16" s="7">
        <v>0</v>
      </c>
      <c r="D16" s="7">
        <v>0</v>
      </c>
      <c r="E16" s="7">
        <f t="shared" si="0"/>
        <v>0</v>
      </c>
      <c r="F16" s="1"/>
      <c r="G16" s="7">
        <f>25000+8000</f>
        <v>33000</v>
      </c>
      <c r="H16" s="11">
        <f t="shared" si="1"/>
        <v>33000</v>
      </c>
      <c r="J16" s="11">
        <f>873.39+11480.54</f>
        <v>12353.93</v>
      </c>
    </row>
    <row r="17" spans="1:10" x14ac:dyDescent="0.2">
      <c r="A17" s="1"/>
      <c r="B17" s="9" t="s">
        <v>13</v>
      </c>
      <c r="C17" s="7">
        <v>0</v>
      </c>
      <c r="D17" s="7">
        <v>0</v>
      </c>
      <c r="E17" s="7">
        <f t="shared" si="0"/>
        <v>0</v>
      </c>
      <c r="F17" s="1"/>
      <c r="G17" s="7">
        <v>0</v>
      </c>
      <c r="H17" s="11">
        <f t="shared" si="1"/>
        <v>0</v>
      </c>
      <c r="J17" s="11">
        <v>0</v>
      </c>
    </row>
    <row r="18" spans="1:10" x14ac:dyDescent="0.2">
      <c r="A18" s="1"/>
      <c r="B18" s="1" t="s">
        <v>11</v>
      </c>
      <c r="C18" s="7">
        <v>0</v>
      </c>
      <c r="D18" s="7">
        <v>0</v>
      </c>
      <c r="E18" s="7">
        <f t="shared" si="0"/>
        <v>0</v>
      </c>
      <c r="F18" s="1"/>
      <c r="G18" s="7">
        <v>49078</v>
      </c>
      <c r="H18" s="11">
        <f t="shared" si="1"/>
        <v>49078</v>
      </c>
      <c r="I18" s="2" t="s">
        <v>3</v>
      </c>
      <c r="J18" s="11">
        <v>35585</v>
      </c>
    </row>
    <row r="19" spans="1:10" x14ac:dyDescent="0.2">
      <c r="A19" s="1"/>
      <c r="B19" s="1" t="s">
        <v>2</v>
      </c>
      <c r="C19" s="7">
        <v>0</v>
      </c>
      <c r="D19" s="7">
        <v>0</v>
      </c>
      <c r="E19" s="7">
        <f t="shared" si="0"/>
        <v>0</v>
      </c>
      <c r="F19" s="1"/>
      <c r="G19" s="7">
        <v>0</v>
      </c>
      <c r="H19" s="11">
        <f t="shared" si="1"/>
        <v>0</v>
      </c>
      <c r="J19" s="11">
        <v>0</v>
      </c>
    </row>
    <row r="20" spans="1:10" x14ac:dyDescent="0.2">
      <c r="A20" s="1"/>
      <c r="B20" s="1" t="s">
        <v>0</v>
      </c>
      <c r="C20" s="7">
        <f>SUM(C11:C19)</f>
        <v>1802732</v>
      </c>
      <c r="D20" s="7">
        <f>SUM(D11:D19)</f>
        <v>1921598</v>
      </c>
      <c r="E20" s="7">
        <f>SUM(E11:E19)</f>
        <v>1862165</v>
      </c>
      <c r="F20" s="1"/>
      <c r="G20" s="7">
        <f>SUM(G11:G19)</f>
        <v>2663766</v>
      </c>
      <c r="H20" s="11">
        <f t="shared" si="1"/>
        <v>801601</v>
      </c>
      <c r="J20" s="11">
        <f>SUM(J12:J19)</f>
        <v>2419974.19</v>
      </c>
    </row>
  </sheetData>
  <pageMargins left="0.7" right="0.7" top="0.75" bottom="0.75" header="0.3" footer="0.3"/>
  <pageSetup scale="9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FE1DC-BDFC-4148-AE66-04A56100AD69}">
  <sheetPr>
    <tabColor rgb="FF00B050"/>
    <pageSetUpPr fitToPage="1"/>
  </sheetPr>
  <dimension ref="A1:O29"/>
  <sheetViews>
    <sheetView zoomScale="90" zoomScaleNormal="90" workbookViewId="0">
      <selection activeCell="G16" sqref="G16"/>
    </sheetView>
  </sheetViews>
  <sheetFormatPr defaultRowHeight="12.75" x14ac:dyDescent="0.2"/>
  <cols>
    <col min="1" max="1" width="17.28515625" customWidth="1"/>
    <col min="2" max="2" width="19.28515625" bestFit="1" customWidth="1"/>
    <col min="3" max="3" width="19.140625" customWidth="1"/>
    <col min="4" max="4" width="15.28515625" customWidth="1"/>
    <col min="5" max="5" width="13.28515625" bestFit="1" customWidth="1"/>
    <col min="6" max="6" width="5.7109375" customWidth="1"/>
    <col min="7" max="15" width="14.7109375" customWidth="1"/>
  </cols>
  <sheetData>
    <row r="1" spans="1:15" x14ac:dyDescent="0.2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" customHeight="1" x14ac:dyDescent="0.2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customHeight="1" x14ac:dyDescent="0.2">
      <c r="A4" s="1"/>
      <c r="B4" s="1"/>
      <c r="C4" s="1"/>
      <c r="D4" s="1"/>
      <c r="E4" s="1"/>
      <c r="F4" s="1"/>
      <c r="G4" s="1"/>
      <c r="H4" s="1"/>
    </row>
    <row r="5" spans="1:15" x14ac:dyDescent="0.2">
      <c r="A5" s="5" t="s">
        <v>24</v>
      </c>
      <c r="B5" s="1"/>
      <c r="C5" s="1"/>
      <c r="D5" s="1"/>
      <c r="E5" s="1"/>
      <c r="F5" s="1"/>
      <c r="G5" s="1"/>
      <c r="H5" s="1"/>
    </row>
    <row r="6" spans="1:15" x14ac:dyDescent="0.2">
      <c r="A6" s="1"/>
      <c r="B6" s="1"/>
      <c r="C6" s="1"/>
      <c r="D6" s="1"/>
      <c r="E6" s="1"/>
      <c r="F6" s="1"/>
      <c r="G6" s="1"/>
      <c r="H6" s="1"/>
    </row>
    <row r="7" spans="1:15" x14ac:dyDescent="0.2">
      <c r="A7" s="5" t="s">
        <v>16</v>
      </c>
      <c r="B7" s="1"/>
      <c r="C7" s="1" t="s">
        <v>78</v>
      </c>
      <c r="D7" s="1"/>
      <c r="E7" s="1"/>
      <c r="F7" s="1"/>
      <c r="G7" s="1" t="s">
        <v>54</v>
      </c>
      <c r="H7" s="1"/>
      <c r="J7" t="s">
        <v>69</v>
      </c>
    </row>
    <row r="8" spans="1:15" x14ac:dyDescent="0.2">
      <c r="A8" s="5"/>
      <c r="B8" s="1" t="s">
        <v>7</v>
      </c>
      <c r="C8" s="8"/>
      <c r="D8" s="1"/>
      <c r="E8" s="1"/>
      <c r="F8" s="1"/>
      <c r="G8" s="12">
        <v>44743</v>
      </c>
      <c r="H8" s="1"/>
      <c r="J8" s="32">
        <v>44013</v>
      </c>
    </row>
    <row r="9" spans="1:15" x14ac:dyDescent="0.2">
      <c r="A9" s="5"/>
      <c r="B9" s="1" t="s">
        <v>6</v>
      </c>
      <c r="C9" s="10">
        <v>2018</v>
      </c>
      <c r="D9" s="1">
        <v>2019</v>
      </c>
      <c r="E9" s="1" t="s">
        <v>18</v>
      </c>
      <c r="F9" s="1"/>
      <c r="G9" s="12">
        <v>45107</v>
      </c>
      <c r="H9" s="1" t="s">
        <v>19</v>
      </c>
      <c r="J9" s="32">
        <v>44377</v>
      </c>
    </row>
    <row r="10" spans="1:15" x14ac:dyDescent="0.2">
      <c r="A10" s="1"/>
      <c r="B10" s="1"/>
      <c r="C10" s="1"/>
      <c r="D10" s="1"/>
      <c r="E10" s="1"/>
      <c r="F10" s="1"/>
      <c r="G10" s="1"/>
      <c r="H10" s="1"/>
    </row>
    <row r="11" spans="1:15" x14ac:dyDescent="0.2">
      <c r="A11" s="5" t="s">
        <v>17</v>
      </c>
      <c r="B11" s="1"/>
      <c r="C11" s="1"/>
      <c r="D11" s="1"/>
      <c r="E11" s="1"/>
      <c r="F11" s="1"/>
      <c r="G11" s="1"/>
      <c r="H11" s="1"/>
    </row>
    <row r="12" spans="1:15" x14ac:dyDescent="0.2">
      <c r="A12" s="1"/>
      <c r="B12" s="1" t="s">
        <v>9</v>
      </c>
      <c r="C12" s="42">
        <v>0</v>
      </c>
      <c r="D12" s="7">
        <v>0</v>
      </c>
      <c r="E12" s="7">
        <f>(C12+D12)/2</f>
        <v>0</v>
      </c>
      <c r="F12" s="1"/>
      <c r="G12" s="7">
        <v>0</v>
      </c>
      <c r="H12" s="11">
        <f>G12-E12</f>
        <v>0</v>
      </c>
      <c r="J12" s="11">
        <v>0</v>
      </c>
    </row>
    <row r="13" spans="1:15" x14ac:dyDescent="0.2">
      <c r="A13" s="1"/>
      <c r="B13" s="1" t="s">
        <v>5</v>
      </c>
      <c r="C13" s="42">
        <v>86877.56</v>
      </c>
      <c r="D13" s="7">
        <v>71225.649999999994</v>
      </c>
      <c r="E13" s="7">
        <f t="shared" ref="E13:E19" si="0">(C13+D13)/2</f>
        <v>79051.604999999996</v>
      </c>
      <c r="F13" s="1"/>
      <c r="G13" s="7">
        <v>82000</v>
      </c>
      <c r="H13" s="11">
        <f t="shared" ref="H13:H20" si="1">G13-E13</f>
        <v>2948.3950000000041</v>
      </c>
      <c r="J13" s="11">
        <v>54300</v>
      </c>
    </row>
    <row r="14" spans="1:15" x14ac:dyDescent="0.2">
      <c r="A14" s="1"/>
      <c r="B14" s="1" t="s">
        <v>12</v>
      </c>
      <c r="C14" s="42">
        <v>13554.79</v>
      </c>
      <c r="D14" s="7">
        <v>9555.6299999999992</v>
      </c>
      <c r="E14" s="7">
        <f t="shared" si="0"/>
        <v>11555.21</v>
      </c>
      <c r="F14" s="1"/>
      <c r="G14" s="7">
        <v>0</v>
      </c>
      <c r="H14" s="11">
        <f t="shared" si="1"/>
        <v>-11555.21</v>
      </c>
      <c r="J14" s="11">
        <v>0</v>
      </c>
    </row>
    <row r="15" spans="1:15" x14ac:dyDescent="0.2">
      <c r="A15" s="1"/>
      <c r="B15" s="1" t="s">
        <v>1</v>
      </c>
      <c r="C15" s="42">
        <v>0</v>
      </c>
      <c r="D15" s="7">
        <v>0</v>
      </c>
      <c r="E15" s="7">
        <f t="shared" si="0"/>
        <v>0</v>
      </c>
      <c r="F15" s="1"/>
      <c r="G15" s="7">
        <v>0</v>
      </c>
      <c r="H15" s="11">
        <f t="shared" si="1"/>
        <v>0</v>
      </c>
      <c r="J15" s="11">
        <v>0</v>
      </c>
    </row>
    <row r="16" spans="1:15" x14ac:dyDescent="0.2">
      <c r="A16" s="1"/>
      <c r="B16" s="1" t="s">
        <v>10</v>
      </c>
      <c r="C16" s="42">
        <v>0</v>
      </c>
      <c r="D16" s="7">
        <v>0</v>
      </c>
      <c r="E16" s="7">
        <f t="shared" si="0"/>
        <v>0</v>
      </c>
      <c r="F16" s="1"/>
      <c r="G16" s="7">
        <v>0</v>
      </c>
      <c r="H16" s="11">
        <f t="shared" si="1"/>
        <v>0</v>
      </c>
      <c r="J16" s="11">
        <v>0</v>
      </c>
    </row>
    <row r="17" spans="1:10" x14ac:dyDescent="0.2">
      <c r="A17" s="1"/>
      <c r="B17" s="9" t="s">
        <v>13</v>
      </c>
      <c r="C17" s="42">
        <v>0</v>
      </c>
      <c r="D17" s="7">
        <v>0</v>
      </c>
      <c r="E17" s="7">
        <f t="shared" si="0"/>
        <v>0</v>
      </c>
      <c r="F17" s="1"/>
      <c r="G17" s="7">
        <v>0</v>
      </c>
      <c r="H17" s="11">
        <f t="shared" si="1"/>
        <v>0</v>
      </c>
      <c r="J17" s="11">
        <v>0</v>
      </c>
    </row>
    <row r="18" spans="1:10" x14ac:dyDescent="0.2">
      <c r="A18" s="1"/>
      <c r="B18" s="1" t="s">
        <v>11</v>
      </c>
      <c r="C18" s="42">
        <v>0</v>
      </c>
      <c r="D18" s="7">
        <v>0</v>
      </c>
      <c r="E18" s="7">
        <f t="shared" si="0"/>
        <v>0</v>
      </c>
      <c r="F18" s="1"/>
      <c r="G18" s="7">
        <v>0</v>
      </c>
      <c r="H18" s="11">
        <f t="shared" si="1"/>
        <v>0</v>
      </c>
      <c r="I18" s="2" t="s">
        <v>3</v>
      </c>
      <c r="J18" s="11">
        <v>0</v>
      </c>
    </row>
    <row r="19" spans="1:10" x14ac:dyDescent="0.2">
      <c r="A19" s="1"/>
      <c r="B19" s="1" t="s">
        <v>2</v>
      </c>
      <c r="C19" s="42">
        <v>0</v>
      </c>
      <c r="D19" s="7">
        <v>0</v>
      </c>
      <c r="E19" s="7">
        <f t="shared" si="0"/>
        <v>0</v>
      </c>
      <c r="F19" s="1"/>
      <c r="G19" s="7">
        <v>0</v>
      </c>
      <c r="H19" s="11">
        <f t="shared" si="1"/>
        <v>0</v>
      </c>
      <c r="J19" s="11">
        <v>0</v>
      </c>
    </row>
    <row r="20" spans="1:10" x14ac:dyDescent="0.2">
      <c r="A20" s="1"/>
      <c r="B20" s="1" t="s">
        <v>0</v>
      </c>
      <c r="C20" s="7">
        <f>SUM(C11:C19)</f>
        <v>100432.35</v>
      </c>
      <c r="D20" s="7">
        <f>SUM(D11:D19)</f>
        <v>80781.279999999999</v>
      </c>
      <c r="E20" s="7">
        <f>SUM(E11:E19)</f>
        <v>90606.815000000002</v>
      </c>
      <c r="F20" s="1"/>
      <c r="G20" s="7">
        <f>SUM(G11:G19)</f>
        <v>82000</v>
      </c>
      <c r="H20" s="11">
        <f t="shared" si="1"/>
        <v>-8606.8150000000023</v>
      </c>
      <c r="J20" s="11">
        <f>SUM(J12:J19)</f>
        <v>54300</v>
      </c>
    </row>
    <row r="29" spans="1:10" x14ac:dyDescent="0.2">
      <c r="B29" t="s">
        <v>77</v>
      </c>
    </row>
  </sheetData>
  <pageMargins left="0.7" right="0.7" top="0.75" bottom="0.75" header="0.3" footer="0.3"/>
  <pageSetup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490DCCBDDC544BAE15A7F1D072743" ma:contentTypeVersion="11" ma:contentTypeDescription="Create a new document." ma:contentTypeScope="" ma:versionID="287389e5cf01dc1d86cb439a85a9bab5">
  <xsd:schema xmlns:xsd="http://www.w3.org/2001/XMLSchema" xmlns:xs="http://www.w3.org/2001/XMLSchema" xmlns:p="http://schemas.microsoft.com/office/2006/metadata/properties" xmlns:ns3="6e5b3a0f-bd1b-4352-9a5f-15c504af6c2e" xmlns:ns4="8245682f-13e4-4b74-a6a1-7b9bb9ff4845" targetNamespace="http://schemas.microsoft.com/office/2006/metadata/properties" ma:root="true" ma:fieldsID="696bebf92dcd1e9b245308b2a4bcef37" ns3:_="" ns4:_="">
    <xsd:import namespace="6e5b3a0f-bd1b-4352-9a5f-15c504af6c2e"/>
    <xsd:import namespace="8245682f-13e4-4b74-a6a1-7b9bb9ff48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5b3a0f-bd1b-4352-9a5f-15c504af6c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5682f-13e4-4b74-a6a1-7b9bb9ff484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0C86AB-4BC2-4761-8721-3BBABB74C2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31536E-6C4E-4EA8-8B56-1D07DB6BA0D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2AD7C8F-3EFF-45AD-B367-2A9986FFF5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5b3a0f-bd1b-4352-9a5f-15c504af6c2e"/>
    <ds:schemaRef ds:uri="8245682f-13e4-4b74-a6a1-7b9bb9ff48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4B920A5-E659-4CE8-B2CA-1A34FAA9D72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e5b3a0f-bd1b-4352-9a5f-15c504af6c2e"/>
    <ds:schemaRef ds:uri="http://purl.org/dc/terms/"/>
    <ds:schemaRef ds:uri="http://schemas.openxmlformats.org/package/2006/metadata/core-properties"/>
    <ds:schemaRef ds:uri="8245682f-13e4-4b74-a6a1-7b9bb9ff484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Roll up all Counties</vt:lpstr>
      <vt:lpstr>Roll up Rural only</vt:lpstr>
      <vt:lpstr>Roll up Davis</vt:lpstr>
      <vt:lpstr>Carson</vt:lpstr>
      <vt:lpstr>Churchill</vt:lpstr>
      <vt:lpstr>Clark</vt:lpstr>
      <vt:lpstr>Douglas</vt:lpstr>
      <vt:lpstr>Elko</vt:lpstr>
      <vt:lpstr>Esmeralda</vt:lpstr>
      <vt:lpstr>Eureka</vt:lpstr>
      <vt:lpstr>Humboldt</vt:lpstr>
      <vt:lpstr>Lander</vt:lpstr>
      <vt:lpstr>Lincoln</vt:lpstr>
      <vt:lpstr>Lyon</vt:lpstr>
      <vt:lpstr>Mineral</vt:lpstr>
      <vt:lpstr>Nye</vt:lpstr>
      <vt:lpstr>Pershing</vt:lpstr>
      <vt:lpstr>Storey</vt:lpstr>
      <vt:lpstr>Washoe</vt:lpstr>
      <vt:lpstr>White Pine</vt:lpstr>
    </vt:vector>
  </TitlesOfParts>
  <Company>The 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10/28/2015</dc:title>
  <dc:creator>Leslie Chavez</dc:creator>
  <cp:lastModifiedBy>Marcie Ryba</cp:lastModifiedBy>
  <cp:lastPrinted>2021-09-16T15:08:32Z</cp:lastPrinted>
  <dcterms:created xsi:type="dcterms:W3CDTF">2002-03-21T11:38:31Z</dcterms:created>
  <dcterms:modified xsi:type="dcterms:W3CDTF">2022-06-13T18:40:50Z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Lowry, Mary (LARA)</vt:lpwstr>
  </property>
  <property fmtid="{D5CDD505-2E9C-101B-9397-08002B2CF9AE}" pid="4" name="display_urn:schemas-microsoft-com:office:office#Author">
    <vt:lpwstr>Lowry, Mary (LARA)</vt:lpwstr>
  </property>
  <property fmtid="{D5CDD505-2E9C-101B-9397-08002B2CF9AE}" pid="5" name="MSIP_Label_3a2fed65-62e7-46ea-af74-187e0c17143a_Enabled">
    <vt:lpwstr>True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Owner">
    <vt:lpwstr>JohnsonA92@michigan.gov</vt:lpwstr>
  </property>
  <property fmtid="{D5CDD505-2E9C-101B-9397-08002B2CF9AE}" pid="8" name="MSIP_Label_3a2fed65-62e7-46ea-af74-187e0c17143a_SetDate">
    <vt:lpwstr>2020-01-09T16:31:56.3574760Z</vt:lpwstr>
  </property>
  <property fmtid="{D5CDD505-2E9C-101B-9397-08002B2CF9AE}" pid="9" name="MSIP_Label_3a2fed65-62e7-46ea-af74-187e0c17143a_Name">
    <vt:lpwstr>Internal Data (Standard State Data)</vt:lpwstr>
  </property>
  <property fmtid="{D5CDD505-2E9C-101B-9397-08002B2CF9AE}" pid="10" name="MSIP_Label_3a2fed65-62e7-46ea-af74-187e0c17143a_Application">
    <vt:lpwstr>Microsoft Azure Information Protection</vt:lpwstr>
  </property>
  <property fmtid="{D5CDD505-2E9C-101B-9397-08002B2CF9AE}" pid="11" name="MSIP_Label_3a2fed65-62e7-46ea-af74-187e0c17143a_ActionId">
    <vt:lpwstr>275ec94b-ead0-4e42-8fc3-d276d3faec58</vt:lpwstr>
  </property>
  <property fmtid="{D5CDD505-2E9C-101B-9397-08002B2CF9AE}" pid="12" name="MSIP_Label_3a2fed65-62e7-46ea-af74-187e0c17143a_Extended_MSFT_Method">
    <vt:lpwstr>Manual</vt:lpwstr>
  </property>
  <property fmtid="{D5CDD505-2E9C-101B-9397-08002B2CF9AE}" pid="13" name="Sensitivity">
    <vt:lpwstr>Internal Data (Standard State Data)</vt:lpwstr>
  </property>
  <property fmtid="{D5CDD505-2E9C-101B-9397-08002B2CF9AE}" pid="14" name="ContentTypeId">
    <vt:lpwstr>0x010100EAE490DCCBDDC544BAE15A7F1D072743</vt:lpwstr>
  </property>
</Properties>
</file>